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autoCompressPictures="0"/>
  <mc:AlternateContent xmlns:mc="http://schemas.openxmlformats.org/markup-compatibility/2006">
    <mc:Choice Requires="x15">
      <x15ac:absPath xmlns:x15ac="http://schemas.microsoft.com/office/spreadsheetml/2010/11/ac" url="C:\Users\smile.chung\Downloads\"/>
    </mc:Choice>
  </mc:AlternateContent>
  <xr:revisionPtr revIDLastSave="0" documentId="13_ncr:1_{F9FFA670-7B51-4F50-BF23-7F3CD0EB0D46}"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10" yWindow="-110" windowWidth="19420" windowHeight="10420" tabRatio="789" firstSheet="1"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90" i="4" s="1"/>
  <c r="B120" i="4"/>
  <c r="M120" i="4" s="1"/>
  <c r="B102" i="4"/>
  <c r="M102" i="4" s="1"/>
  <c r="B66" i="4"/>
  <c r="M66" i="4" s="1"/>
  <c r="B54" i="4"/>
  <c r="M54"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s="1"/>
  <c r="T12" i="5"/>
  <c r="S12" i="5"/>
  <c r="R12" i="5"/>
  <c r="J12" i="5"/>
  <c r="I12" i="5"/>
  <c r="H12" i="5"/>
  <c r="G12" i="5"/>
  <c r="F12"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G110" i="6" s="1"/>
  <c r="B109" i="6"/>
  <c r="B108" i="6"/>
  <c r="B107" i="6"/>
  <c r="B106" i="6"/>
  <c r="B105" i="6"/>
  <c r="B104" i="6"/>
  <c r="B103" i="6"/>
  <c r="G103" i="6" s="1"/>
  <c r="B102" i="6"/>
  <c r="B101" i="6"/>
  <c r="B100" i="6"/>
  <c r="B99" i="6"/>
  <c r="B98" i="6"/>
  <c r="B96" i="6"/>
  <c r="B95" i="6"/>
  <c r="B94" i="6"/>
  <c r="B92" i="6"/>
  <c r="B91" i="6"/>
  <c r="B90" i="6"/>
  <c r="B89" i="6"/>
  <c r="B88" i="6"/>
  <c r="B87" i="6"/>
  <c r="B86" i="6"/>
  <c r="B85" i="6"/>
  <c r="B84" i="6"/>
  <c r="G84" i="6" s="1"/>
  <c r="B83" i="6"/>
  <c r="B81" i="6"/>
  <c r="B80" i="6"/>
  <c r="B79" i="6"/>
  <c r="B78" i="6"/>
  <c r="B77" i="6"/>
  <c r="B76" i="6"/>
  <c r="B75" i="6"/>
  <c r="B74" i="6"/>
  <c r="B73" i="6"/>
  <c r="B72" i="6"/>
  <c r="B70" i="6"/>
  <c r="B69" i="6"/>
  <c r="B68" i="6"/>
  <c r="B67" i="6"/>
  <c r="B66" i="6"/>
  <c r="G66" i="6" s="1"/>
  <c r="B65" i="6"/>
  <c r="B64" i="6"/>
  <c r="B63" i="6"/>
  <c r="B62" i="6"/>
  <c r="B61" i="6"/>
  <c r="B59" i="6"/>
  <c r="B58" i="6"/>
  <c r="B57" i="6"/>
  <c r="B56" i="6"/>
  <c r="B55" i="6"/>
  <c r="B54" i="6"/>
  <c r="B53" i="6"/>
  <c r="B52" i="6"/>
  <c r="B51" i="6"/>
  <c r="G51" i="6" s="1"/>
  <c r="B50" i="6"/>
  <c r="B48" i="6"/>
  <c r="B47" i="6"/>
  <c r="B46" i="6"/>
  <c r="B45" i="6"/>
  <c r="B44" i="6"/>
  <c r="B43" i="6"/>
  <c r="B42" i="6"/>
  <c r="B41" i="6"/>
  <c r="B40" i="6"/>
  <c r="G40" i="6" s="1"/>
  <c r="B39" i="6"/>
  <c r="B37" i="6"/>
  <c r="B36" i="6"/>
  <c r="B35" i="6"/>
  <c r="B34" i="6"/>
  <c r="B33" i="6"/>
  <c r="B32" i="6"/>
  <c r="B31" i="6"/>
  <c r="B30" i="6"/>
  <c r="B29" i="6"/>
  <c r="B28" i="6"/>
  <c r="B26" i="6"/>
  <c r="B25" i="6"/>
  <c r="B24" i="6"/>
  <c r="B23" i="6"/>
  <c r="B22" i="6"/>
  <c r="B21" i="6"/>
  <c r="B20" i="6"/>
  <c r="B19" i="6"/>
  <c r="B18" i="6"/>
  <c r="B17" i="6"/>
  <c r="B15" i="6"/>
  <c r="B13" i="6"/>
  <c r="B12" i="6"/>
  <c r="B11" i="6"/>
  <c r="B10" i="6"/>
  <c r="G10" i="6" s="1"/>
  <c r="H10" i="6" s="1"/>
  <c r="B9" i="6"/>
  <c r="B6" i="6"/>
  <c r="B4" i="6"/>
  <c r="A98" i="6"/>
  <c r="B114" i="4"/>
  <c r="A93" i="6" s="1"/>
  <c r="A50" i="6"/>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D101" i="4" s="1"/>
  <c r="B113" i="4"/>
  <c r="H101" i="4"/>
  <c r="AA13" i="4" a="1"/>
  <c r="AA13" i="4"/>
  <c r="S43" i="4"/>
  <c r="S42" i="4"/>
  <c r="T43"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5" i="5" s="1"/>
  <c r="J75" i="6"/>
  <c r="J73" i="6"/>
  <c r="C4" i="5"/>
  <c r="D4" i="5"/>
  <c r="E4" i="5"/>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39" i="6"/>
  <c r="H39" i="6" s="1"/>
  <c r="F28" i="6"/>
  <c r="F17" i="6"/>
  <c r="F98" i="6"/>
  <c r="H98" i="6" s="1"/>
  <c r="C123" i="6"/>
  <c r="C122" i="6"/>
  <c r="C121" i="6"/>
  <c r="C120" i="6"/>
  <c r="G102" i="6"/>
  <c r="G101" i="6"/>
  <c r="G100" i="6"/>
  <c r="G88" i="6"/>
  <c r="G87" i="6"/>
  <c r="G86" i="6"/>
  <c r="G85" i="6"/>
  <c r="G83" i="6"/>
  <c r="G77" i="6"/>
  <c r="G76" i="6"/>
  <c r="G75" i="6"/>
  <c r="G74" i="6"/>
  <c r="G73" i="6"/>
  <c r="G72" i="6"/>
  <c r="J74" i="6"/>
  <c r="G65" i="6"/>
  <c r="G64" i="6"/>
  <c r="G63" i="6"/>
  <c r="G62" i="6"/>
  <c r="G61" i="6"/>
  <c r="G55" i="6"/>
  <c r="G54" i="6"/>
  <c r="G53" i="6"/>
  <c r="G52" i="6"/>
  <c r="G50" i="6"/>
  <c r="G44" i="6"/>
  <c r="G43" i="6"/>
  <c r="G42" i="6"/>
  <c r="G41" i="6"/>
  <c r="G39" i="6"/>
  <c r="G33" i="6"/>
  <c r="H33" i="6" s="1"/>
  <c r="G32" i="6"/>
  <c r="G31" i="6"/>
  <c r="G30" i="6"/>
  <c r="G29" i="6"/>
  <c r="G28" i="6"/>
  <c r="H28" i="6"/>
  <c r="D28" i="6"/>
  <c r="G17" i="6"/>
  <c r="H17" i="6"/>
  <c r="D17" i="6"/>
  <c r="H7" i="6"/>
  <c r="D7" i="6"/>
  <c r="G9" i="6"/>
  <c r="H9" i="6"/>
  <c r="D9" i="6" s="1"/>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K114"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G94" i="6"/>
  <c r="G95" i="6"/>
  <c r="G96" i="6"/>
  <c r="G98" i="6"/>
  <c r="G99" i="6"/>
  <c r="G108" i="6"/>
  <c r="G109" i="6"/>
  <c r="G111" i="6"/>
  <c r="G13" i="6"/>
  <c r="H13" i="6" s="1"/>
  <c r="D13" i="6" s="1"/>
  <c r="G5" i="6"/>
  <c r="H5" i="6" s="1"/>
  <c r="F6" i="6"/>
  <c r="H6" i="6" s="1"/>
  <c r="G6" i="6"/>
  <c r="G11" i="6"/>
  <c r="H11" i="6" s="1"/>
  <c r="G12" i="6"/>
  <c r="H12" i="6" s="1"/>
  <c r="H14" i="6"/>
  <c r="G15" i="6"/>
  <c r="H15" i="6"/>
  <c r="H16" i="6"/>
  <c r="I4" i="6"/>
  <c r="C4" i="6" s="1"/>
  <c r="I5" i="6"/>
  <c r="J5" i="6"/>
  <c r="I6" i="6"/>
  <c r="J6" i="6"/>
  <c r="I9" i="6"/>
  <c r="J9" i="6"/>
  <c r="I10" i="6"/>
  <c r="J10" i="6"/>
  <c r="I11" i="6"/>
  <c r="J11" i="6"/>
  <c r="I12" i="6"/>
  <c r="J12" i="6"/>
  <c r="I13" i="6"/>
  <c r="I15" i="6"/>
  <c r="J15" i="6"/>
  <c r="I17" i="6"/>
  <c r="C17" i="6" s="1"/>
  <c r="J17" i="6"/>
  <c r="I18" i="6"/>
  <c r="J18" i="6"/>
  <c r="I19" i="6"/>
  <c r="I20" i="6"/>
  <c r="J20" i="6"/>
  <c r="I28" i="6"/>
  <c r="C28" i="6" s="1"/>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82" i="5"/>
  <c r="X127" i="5"/>
  <c r="X268" i="5"/>
  <c r="X498" i="5"/>
  <c r="X774" i="5"/>
  <c r="X1050" i="5"/>
  <c r="X1274" i="5"/>
  <c r="X1311" i="5"/>
  <c r="X1476" i="5"/>
  <c r="X2186"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B31" i="4"/>
  <c r="A18" i="6"/>
  <c r="F40" i="6"/>
  <c r="F51" i="6" s="1"/>
  <c r="F18" i="6"/>
  <c r="H18" i="6"/>
  <c r="D18" i="6" s="1"/>
  <c r="O31" i="4"/>
  <c r="P55" i="4"/>
  <c r="B121" i="4"/>
  <c r="P43" i="4"/>
  <c r="B43" i="4"/>
  <c r="A29" i="6" s="1"/>
  <c r="A115" i="6"/>
  <c r="F29" i="6"/>
  <c r="H29" i="6"/>
  <c r="K115" i="6" s="1"/>
  <c r="M31" i="4"/>
  <c r="AA14" i="4" a="1"/>
  <c r="AA14" i="4"/>
  <c r="AA15" i="4" a="1"/>
  <c r="AA15" i="4"/>
  <c r="AA16" i="4" a="1"/>
  <c r="B32" i="4"/>
  <c r="A19" i="6"/>
  <c r="F19" i="6"/>
  <c r="H19" i="6"/>
  <c r="D19" i="6" s="1"/>
  <c r="B33" i="4"/>
  <c r="A20" i="6"/>
  <c r="F20" i="6"/>
  <c r="H20" i="6"/>
  <c r="AA16" i="4"/>
  <c r="B34" i="4"/>
  <c r="A21" i="6"/>
  <c r="F21" i="6"/>
  <c r="H21" i="6"/>
  <c r="D21" i="6" s="1"/>
  <c r="F41" i="6"/>
  <c r="F52" i="6" s="1"/>
  <c r="F42" i="6"/>
  <c r="F117" i="6" s="1"/>
  <c r="F43" i="6"/>
  <c r="H43" i="6" s="1"/>
  <c r="D43" i="6" s="1"/>
  <c r="O34" i="4"/>
  <c r="P58" i="4"/>
  <c r="B82" i="4" s="1"/>
  <c r="B124" i="4"/>
  <c r="A102" i="6" s="1"/>
  <c r="B106" i="4"/>
  <c r="A87" i="6" s="1"/>
  <c r="B94" i="4"/>
  <c r="A76" i="6" s="1"/>
  <c r="B70" i="4"/>
  <c r="M70" i="4" s="1"/>
  <c r="B58" i="4"/>
  <c r="M58" i="4" s="1"/>
  <c r="P46" i="4"/>
  <c r="B46" i="4" s="1"/>
  <c r="F54" i="6"/>
  <c r="F65" i="6" s="1"/>
  <c r="H54" i="6"/>
  <c r="D54" i="6" s="1"/>
  <c r="F32" i="6"/>
  <c r="H32" i="6" s="1"/>
  <c r="F118" i="6"/>
  <c r="A118" i="6"/>
  <c r="M34" i="4"/>
  <c r="M106" i="4"/>
  <c r="M124" i="4"/>
  <c r="O33" i="4"/>
  <c r="P57" i="4"/>
  <c r="B123" i="4" s="1"/>
  <c r="O32" i="4"/>
  <c r="P56" i="4"/>
  <c r="B80" i="4" s="1"/>
  <c r="B122" i="4"/>
  <c r="M122" i="4" s="1"/>
  <c r="B105" i="4"/>
  <c r="A86" i="6" s="1"/>
  <c r="M105" i="4"/>
  <c r="B93" i="4"/>
  <c r="M93" i="4" s="1"/>
  <c r="B92" i="4"/>
  <c r="M92" i="4" s="1"/>
  <c r="B81" i="4"/>
  <c r="A64" i="6" s="1"/>
  <c r="B69" i="4"/>
  <c r="A53" i="6" s="1"/>
  <c r="M69" i="4"/>
  <c r="B68" i="4"/>
  <c r="M68" i="4" s="1"/>
  <c r="B57" i="4"/>
  <c r="M57" i="4" s="1"/>
  <c r="P45" i="4"/>
  <c r="B45" i="4"/>
  <c r="M45" i="4" s="1"/>
  <c r="P44" i="4"/>
  <c r="B44" i="4" s="1"/>
  <c r="M33" i="4"/>
  <c r="M32" i="4"/>
  <c r="A75" i="6"/>
  <c r="A42" i="6"/>
  <c r="A31" i="6"/>
  <c r="D20" i="6"/>
  <c r="A116" i="6"/>
  <c r="A117" i="6"/>
  <c r="F30" i="6"/>
  <c r="H30" i="6"/>
  <c r="F31" i="6"/>
  <c r="H31" i="6" s="1"/>
  <c r="S45" i="4"/>
  <c r="S44" i="4"/>
  <c r="T44" i="4"/>
  <c r="U43" i="4"/>
  <c r="V42" i="4"/>
  <c r="W42" i="4"/>
  <c r="V43" i="4"/>
  <c r="U44" i="4"/>
  <c r="T45" i="4"/>
  <c r="S46" i="4"/>
  <c r="AA17" i="4" a="1"/>
  <c r="AA17" i="4"/>
  <c r="S47" i="4"/>
  <c r="T47" i="4"/>
  <c r="U47" i="4" s="1"/>
  <c r="T46" i="4"/>
  <c r="U46" i="4" s="1"/>
  <c r="B35" i="4"/>
  <c r="A22" i="6"/>
  <c r="F44" i="6"/>
  <c r="F103" i="6" s="1"/>
  <c r="F33" i="6"/>
  <c r="A119" i="6"/>
  <c r="F22" i="6"/>
  <c r="H22" i="6"/>
  <c r="D22" i="6"/>
  <c r="O35" i="4"/>
  <c r="P47" i="4"/>
  <c r="B47" i="4" s="1"/>
  <c r="P59" i="4"/>
  <c r="B71"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Z51" i="4" s="1"/>
  <c r="AA51" i="4" s="1"/>
  <c r="T50" i="4"/>
  <c r="U50" i="4"/>
  <c r="V50" i="4"/>
  <c r="W50" i="4"/>
  <c r="X50" i="4"/>
  <c r="Y50" i="4" s="1"/>
  <c r="Z50" i="4" s="1"/>
  <c r="U49" i="4"/>
  <c r="V49" i="4"/>
  <c r="W49" i="4"/>
  <c r="X49" i="4" s="1"/>
  <c r="Y49" i="4" s="1"/>
  <c r="Z49" i="4" s="1"/>
  <c r="V48" i="4"/>
  <c r="W48" i="4" s="1"/>
  <c r="X48" i="4" s="1"/>
  <c r="Y48" i="4" s="1"/>
  <c r="A26" i="6"/>
  <c r="AA22" i="4"/>
  <c r="AA23" i="4"/>
  <c r="P51" i="4"/>
  <c r="B51" i="4"/>
  <c r="A37" i="6"/>
  <c r="Q53" i="4"/>
  <c r="B131" i="4" s="1"/>
  <c r="A108" i="6" s="1"/>
  <c r="B63" i="4"/>
  <c r="A48" i="6"/>
  <c r="B75" i="4"/>
  <c r="A59" i="6"/>
  <c r="B87" i="4"/>
  <c r="A70" i="6"/>
  <c r="A81" i="6"/>
  <c r="B111" i="4"/>
  <c r="A92" i="6"/>
  <c r="B129" i="4"/>
  <c r="A107" i="6"/>
  <c r="A123" i="6"/>
  <c r="M39" i="4"/>
  <c r="M51" i="4"/>
  <c r="M63" i="4"/>
  <c r="M75" i="4"/>
  <c r="M87" i="4"/>
  <c r="M111" i="4"/>
  <c r="M129" i="4"/>
  <c r="C30" i="6" l="1"/>
  <c r="B9" i="5"/>
  <c r="AC9" i="5" s="1"/>
  <c r="AC5" i="5"/>
  <c r="B7" i="5"/>
  <c r="C10" i="5"/>
  <c r="C6" i="5"/>
  <c r="B10" i="5"/>
  <c r="B6" i="5"/>
  <c r="C5" i="5"/>
  <c r="C9" i="5"/>
  <c r="C8" i="5"/>
  <c r="B8" i="5"/>
  <c r="C7" i="5"/>
  <c r="H103" i="6"/>
  <c r="D103" i="6" s="1"/>
  <c r="D33" i="6"/>
  <c r="C33" i="6"/>
  <c r="Z48" i="4"/>
  <c r="AA48" i="4" s="1"/>
  <c r="AB51" i="4"/>
  <c r="AC51" i="4" s="1"/>
  <c r="V46" i="4"/>
  <c r="V47" i="4"/>
  <c r="W47" i="4" s="1"/>
  <c r="AA50" i="4"/>
  <c r="AB50" i="4" s="1"/>
  <c r="AA49" i="4"/>
  <c r="B95" i="4"/>
  <c r="M95" i="4" s="1"/>
  <c r="F119" i="6"/>
  <c r="B83" i="4"/>
  <c r="A66" i="6" s="1"/>
  <c r="F55" i="6"/>
  <c r="B115" i="4"/>
  <c r="A94" i="6" s="1"/>
  <c r="H44" i="6"/>
  <c r="D44" i="6" s="1"/>
  <c r="U45" i="4"/>
  <c r="V45" i="4" s="1"/>
  <c r="V44" i="4"/>
  <c r="H51" i="6"/>
  <c r="D51" i="6" s="1"/>
  <c r="F62" i="6"/>
  <c r="H40" i="6"/>
  <c r="D40" i="6" s="1"/>
  <c r="F115" i="6"/>
  <c r="F99" i="6"/>
  <c r="H99" i="6" s="1"/>
  <c r="M121" i="4"/>
  <c r="A99" i="6"/>
  <c r="B79" i="4"/>
  <c r="B67" i="4"/>
  <c r="B89" i="4"/>
  <c r="A71" i="6" s="1"/>
  <c r="A55" i="6"/>
  <c r="M71" i="4"/>
  <c r="M47" i="4"/>
  <c r="A33" i="6"/>
  <c r="B125" i="4"/>
  <c r="B65" i="4"/>
  <c r="A49" i="6" s="1"/>
  <c r="B119" i="4"/>
  <c r="A97" i="6" s="1"/>
  <c r="B101" i="4"/>
  <c r="A82" i="6" s="1"/>
  <c r="M83" i="4"/>
  <c r="B107" i="4"/>
  <c r="B59" i="4"/>
  <c r="C19" i="6"/>
  <c r="C103" i="6"/>
  <c r="B117" i="4"/>
  <c r="A95" i="6" s="1"/>
  <c r="A77" i="6"/>
  <c r="K119" i="6"/>
  <c r="C22" i="6"/>
  <c r="H65" i="6"/>
  <c r="D65" i="6" s="1"/>
  <c r="F76" i="6"/>
  <c r="M46" i="4"/>
  <c r="A32" i="6"/>
  <c r="D32" i="6"/>
  <c r="K118" i="6"/>
  <c r="C32" i="6"/>
  <c r="A65" i="6"/>
  <c r="M82" i="4"/>
  <c r="C43" i="6"/>
  <c r="A43" i="6"/>
  <c r="C65" i="6"/>
  <c r="C21" i="6"/>
  <c r="M94" i="4"/>
  <c r="A54" i="6"/>
  <c r="B77" i="4"/>
  <c r="A60" i="6" s="1"/>
  <c r="C54" i="6"/>
  <c r="F102" i="6"/>
  <c r="H102" i="6" s="1"/>
  <c r="D102" i="6" s="1"/>
  <c r="B137" i="4"/>
  <c r="A111" i="6" s="1"/>
  <c r="D31" i="6"/>
  <c r="K117" i="6"/>
  <c r="A101" i="6"/>
  <c r="M123" i="4"/>
  <c r="C20" i="6"/>
  <c r="M81" i="4"/>
  <c r="C101" i="6"/>
  <c r="H42" i="6"/>
  <c r="B53" i="4"/>
  <c r="A38" i="6" s="1"/>
  <c r="F53" i="6"/>
  <c r="F101" i="6"/>
  <c r="H101" i="6" s="1"/>
  <c r="D101" i="6" s="1"/>
  <c r="C31" i="6"/>
  <c r="H52" i="6"/>
  <c r="D52" i="6" s="1"/>
  <c r="F63" i="6"/>
  <c r="M80" i="4"/>
  <c r="A63" i="6"/>
  <c r="M44" i="4"/>
  <c r="A30" i="6"/>
  <c r="H41" i="6"/>
  <c r="D41" i="6" s="1"/>
  <c r="F100" i="6"/>
  <c r="H100" i="6" s="1"/>
  <c r="D100" i="6" s="1"/>
  <c r="A52" i="6"/>
  <c r="F116" i="6"/>
  <c r="K116" i="6"/>
  <c r="C52" i="6"/>
  <c r="A100" i="6"/>
  <c r="F94" i="6"/>
  <c r="B56" i="4"/>
  <c r="B104" i="4"/>
  <c r="A74" i="6"/>
  <c r="D30" i="6"/>
  <c r="C99" i="6"/>
  <c r="D99" i="6"/>
  <c r="A62" i="6"/>
  <c r="M79" i="4"/>
  <c r="B91" i="4"/>
  <c r="B135" i="4"/>
  <c r="A110" i="6" s="1"/>
  <c r="C40" i="6"/>
  <c r="C51" i="6"/>
  <c r="B55" i="4"/>
  <c r="B103" i="4"/>
  <c r="D29" i="6"/>
  <c r="C18" i="6"/>
  <c r="C29" i="6"/>
  <c r="M43" i="4"/>
  <c r="C39" i="6"/>
  <c r="D39" i="6"/>
  <c r="M90" i="4"/>
  <c r="A72" i="6"/>
  <c r="M42" i="4"/>
  <c r="A28" i="6"/>
  <c r="C98" i="6"/>
  <c r="D98" i="6"/>
  <c r="F50" i="6"/>
  <c r="A39" i="6"/>
  <c r="B78" i="4"/>
  <c r="B133" i="4"/>
  <c r="A109" i="6" s="1"/>
  <c r="A83" i="6"/>
  <c r="C15" i="6"/>
  <c r="C13" i="6"/>
  <c r="D10" i="6"/>
  <c r="C10" i="6"/>
  <c r="D12" i="6"/>
  <c r="C12" i="6"/>
  <c r="C11" i="6"/>
  <c r="D11" i="6"/>
  <c r="C9" i="6"/>
  <c r="D6" i="6"/>
  <c r="C6" i="6"/>
  <c r="D5" i="6"/>
  <c r="C5" i="6"/>
  <c r="C2" i="6"/>
  <c r="H112" i="6"/>
  <c r="D41" i="4"/>
  <c r="G53" i="4"/>
  <c r="G101" i="4"/>
  <c r="D65" i="4"/>
  <c r="G65" i="4"/>
  <c r="G89" i="4"/>
  <c r="D77" i="4"/>
  <c r="D114" i="4"/>
  <c r="G77" i="4"/>
  <c r="D89" i="4"/>
  <c r="G114" i="4"/>
  <c r="D53" i="4"/>
  <c r="F124" i="6" l="1"/>
  <c r="AC10" i="5"/>
  <c r="AC8" i="5"/>
  <c r="AD8" i="5"/>
  <c r="AB8" i="5"/>
  <c r="V8" i="5"/>
  <c r="G8" i="5" s="1"/>
  <c r="AB6" i="5"/>
  <c r="V6" i="5"/>
  <c r="G6" i="5" s="1"/>
  <c r="AD6" i="5"/>
  <c r="AB10" i="5"/>
  <c r="V10" i="5"/>
  <c r="G10" i="5" s="1"/>
  <c r="AD10" i="5"/>
  <c r="AB9" i="5"/>
  <c r="V9" i="5"/>
  <c r="G9" i="5" s="1"/>
  <c r="AD9" i="5"/>
  <c r="AC7" i="5"/>
  <c r="G117" i="6"/>
  <c r="H117" i="6" s="1"/>
  <c r="V5" i="5"/>
  <c r="AD5" i="5"/>
  <c r="AB5" i="5"/>
  <c r="G115" i="6" s="1"/>
  <c r="H115" i="6" s="1"/>
  <c r="AD7" i="5"/>
  <c r="AB7" i="5"/>
  <c r="G116" i="6" s="1"/>
  <c r="H116" i="6" s="1"/>
  <c r="V7" i="5"/>
  <c r="AC6" i="5"/>
  <c r="C44" i="6"/>
  <c r="AC50" i="4"/>
  <c r="AC49" i="4"/>
  <c r="X46" i="4"/>
  <c r="X47" i="4"/>
  <c r="Y47" i="4" s="1"/>
  <c r="F66" i="6"/>
  <c r="H55" i="6"/>
  <c r="W45" i="4"/>
  <c r="W46" i="4"/>
  <c r="W44" i="4"/>
  <c r="W43" i="4"/>
  <c r="AB48" i="4"/>
  <c r="AC48" i="4" s="1"/>
  <c r="AB49" i="4"/>
  <c r="F73" i="6"/>
  <c r="H62" i="6"/>
  <c r="M67" i="4"/>
  <c r="A51" i="6"/>
  <c r="A103" i="6"/>
  <c r="M125" i="4"/>
  <c r="M107" i="4"/>
  <c r="A88" i="6"/>
  <c r="M59" i="4"/>
  <c r="A44" i="6"/>
  <c r="C102" i="6"/>
  <c r="F87" i="6"/>
  <c r="H87" i="6" s="1"/>
  <c r="H76" i="6"/>
  <c r="C42" i="6"/>
  <c r="D42" i="6"/>
  <c r="H53" i="6"/>
  <c r="F64" i="6"/>
  <c r="C41" i="6"/>
  <c r="F110" i="6"/>
  <c r="H110" i="6" s="1"/>
  <c r="F108" i="6"/>
  <c r="H108" i="6" s="1"/>
  <c r="F95" i="6"/>
  <c r="F109" i="6"/>
  <c r="H109" i="6" s="1"/>
  <c r="H94" i="6"/>
  <c r="C94" i="6" s="1"/>
  <c r="H63" i="6"/>
  <c r="F74" i="6"/>
  <c r="A41" i="6"/>
  <c r="M56" i="4"/>
  <c r="F111" i="6"/>
  <c r="H111" i="6" s="1"/>
  <c r="A85" i="6"/>
  <c r="M104" i="4"/>
  <c r="C100" i="6"/>
  <c r="A73" i="6"/>
  <c r="M91" i="4"/>
  <c r="A84" i="6"/>
  <c r="M103" i="4"/>
  <c r="M55" i="4"/>
  <c r="A40" i="6"/>
  <c r="A61" i="6"/>
  <c r="M78" i="4"/>
  <c r="H50" i="6"/>
  <c r="F61" i="6"/>
  <c r="D112" i="6"/>
  <c r="C112" i="6"/>
  <c r="D115" i="6" l="1"/>
  <c r="C115" i="6"/>
  <c r="D116" i="6"/>
  <c r="C116" i="6"/>
  <c r="I7" i="5"/>
  <c r="H7" i="5"/>
  <c r="E7" i="5"/>
  <c r="F7" i="5"/>
  <c r="R7" i="5"/>
  <c r="J7" i="5"/>
  <c r="R6" i="5"/>
  <c r="J6" i="5"/>
  <c r="I6" i="5"/>
  <c r="H6" i="5"/>
  <c r="E6" i="5"/>
  <c r="F6" i="5"/>
  <c r="D117" i="6"/>
  <c r="C117" i="6"/>
  <c r="G118" i="6"/>
  <c r="H118" i="6" s="1"/>
  <c r="E5" i="5"/>
  <c r="F5" i="5"/>
  <c r="J5" i="5"/>
  <c r="R5" i="5"/>
  <c r="I5" i="5"/>
  <c r="H5" i="5"/>
  <c r="G7" i="5"/>
  <c r="G114" i="6"/>
  <c r="H114" i="6" s="1"/>
  <c r="G119" i="6"/>
  <c r="H119" i="6" s="1"/>
  <c r="E8" i="5"/>
  <c r="F8" i="5"/>
  <c r="R8" i="5"/>
  <c r="J8" i="5"/>
  <c r="I8" i="5"/>
  <c r="H8" i="5"/>
  <c r="H10" i="5"/>
  <c r="E10" i="5"/>
  <c r="F10" i="5"/>
  <c r="R10" i="5"/>
  <c r="J10" i="5"/>
  <c r="I10" i="5"/>
  <c r="G5" i="5"/>
  <c r="R9" i="5"/>
  <c r="J9" i="5"/>
  <c r="I9" i="5"/>
  <c r="H9" i="5"/>
  <c r="E9" i="5"/>
  <c r="F9" i="5"/>
  <c r="X42" i="4"/>
  <c r="Y42" i="4" s="1"/>
  <c r="X43" i="4"/>
  <c r="X44" i="4"/>
  <c r="X45" i="4"/>
  <c r="Y46" i="4"/>
  <c r="Z46" i="4" s="1"/>
  <c r="AA46" i="4" s="1"/>
  <c r="AB46" i="4" s="1"/>
  <c r="AC46" i="4" s="1"/>
  <c r="Y45" i="4"/>
  <c r="D55" i="6"/>
  <c r="C55" i="6"/>
  <c r="H66" i="6"/>
  <c r="F77" i="6"/>
  <c r="Z47" i="4"/>
  <c r="AA47" i="4" s="1"/>
  <c r="AB47" i="4" s="1"/>
  <c r="AC47" i="4" s="1"/>
  <c r="D62" i="6"/>
  <c r="C62" i="6"/>
  <c r="H73" i="6"/>
  <c r="F84" i="6"/>
  <c r="H84" i="6" s="1"/>
  <c r="D94" i="6"/>
  <c r="D76" i="6"/>
  <c r="C76" i="6"/>
  <c r="C87" i="6"/>
  <c r="D87" i="6"/>
  <c r="H64" i="6"/>
  <c r="F75" i="6"/>
  <c r="C53" i="6"/>
  <c r="D53" i="6"/>
  <c r="F85" i="6"/>
  <c r="H85" i="6" s="1"/>
  <c r="H74" i="6"/>
  <c r="D109" i="6"/>
  <c r="C109" i="6"/>
  <c r="F96" i="6"/>
  <c r="H96" i="6" s="1"/>
  <c r="H95" i="6"/>
  <c r="D111" i="6"/>
  <c r="C111" i="6"/>
  <c r="D108" i="6"/>
  <c r="C108" i="6"/>
  <c r="D110" i="6"/>
  <c r="C110" i="6"/>
  <c r="C63" i="6"/>
  <c r="D63" i="6"/>
  <c r="D50" i="6"/>
  <c r="C50" i="6"/>
  <c r="H61" i="6"/>
  <c r="F72" i="6"/>
  <c r="D119" i="6" l="1"/>
  <c r="C119" i="6"/>
  <c r="X6" i="5"/>
  <c r="X7" i="5"/>
  <c r="X10" i="5"/>
  <c r="X9" i="5"/>
  <c r="X8" i="5"/>
  <c r="D114" i="6"/>
  <c r="C114" i="6"/>
  <c r="D118" i="6"/>
  <c r="C118" i="6"/>
  <c r="X5" i="5"/>
  <c r="G124" i="6" a="1"/>
  <c r="G124" i="6" s="1"/>
  <c r="Z45" i="4"/>
  <c r="AA45" i="4" s="1"/>
  <c r="Y43" i="4"/>
  <c r="Y44" i="4"/>
  <c r="Z44" i="4" s="1"/>
  <c r="F88" i="6"/>
  <c r="H88" i="6" s="1"/>
  <c r="H77" i="6"/>
  <c r="D66" i="6"/>
  <c r="C66" i="6"/>
  <c r="C84" i="6"/>
  <c r="D84" i="6"/>
  <c r="D73" i="6"/>
  <c r="C73" i="6"/>
  <c r="F86" i="6"/>
  <c r="H86" i="6" s="1"/>
  <c r="H75" i="6"/>
  <c r="D64" i="6"/>
  <c r="C64" i="6"/>
  <c r="D95" i="6"/>
  <c r="C95" i="6"/>
  <c r="D96" i="6"/>
  <c r="C96" i="6"/>
  <c r="C74" i="6"/>
  <c r="D74" i="6"/>
  <c r="D85" i="6"/>
  <c r="C85" i="6"/>
  <c r="D61" i="6"/>
  <c r="C61" i="6"/>
  <c r="F83" i="6"/>
  <c r="H83" i="6" s="1"/>
  <c r="H72" i="6"/>
  <c r="S10" i="5"/>
  <c r="S9" i="5"/>
  <c r="S6" i="5"/>
  <c r="S8" i="5"/>
  <c r="S5" i="5"/>
  <c r="S7" i="5"/>
  <c r="H124" i="6" l="1"/>
  <c r="D124" i="6" s="1"/>
  <c r="C124" i="6"/>
  <c r="AA44" i="4"/>
  <c r="AB44" i="4" s="1"/>
  <c r="AC44" i="4" s="1"/>
  <c r="C77" i="6"/>
  <c r="D77" i="6"/>
  <c r="C88" i="6"/>
  <c r="D88" i="6"/>
  <c r="Z43" i="4"/>
  <c r="AA43" i="4" s="1"/>
  <c r="Z42" i="4"/>
  <c r="AA42" i="4" s="1"/>
  <c r="AB45" i="4"/>
  <c r="AC45" i="4" s="1"/>
  <c r="C75" i="6"/>
  <c r="D75" i="6"/>
  <c r="D86" i="6"/>
  <c r="C86" i="6"/>
  <c r="D72" i="6"/>
  <c r="C72" i="6"/>
  <c r="D83" i="6"/>
  <c r="C83" i="6"/>
  <c r="T8" i="5"/>
  <c r="T6" i="5"/>
  <c r="T9" i="5"/>
  <c r="T10" i="5"/>
  <c r="T5" i="5"/>
  <c r="T7" i="5"/>
  <c r="H125" i="6" l="1"/>
  <c r="D2" i="6" s="1"/>
  <c r="AB42" i="4"/>
  <c r="AC42" i="4" s="1"/>
  <c r="AB43" i="4"/>
  <c r="AC4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<sst xmlns="http://schemas.openxmlformats.org/spreadsheetml/2006/main" count="28492" uniqueCount="20168">
  <si>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</si>
  <si>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</si>
  <si>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</si>
  <si>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</si>
  <si>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</si>
  <si>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</si>
  <si>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</si>
  <si>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</si>
  <si>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</si>
  <si>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</si>
  <si>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</si>
  <si>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</si>
  <si>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</si>
  <si>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</si>
  <si>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</si>
  <si>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</si>
  <si>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</si>
  <si>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</si>
  <si>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</si>
  <si>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</si>
  <si>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</si>
  <si>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</si>
  <si>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</si>
  <si>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</si>
  <si>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</si>
  <si>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</si>
  <si>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</si>
  <si>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</si>
  <si>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</si>
  <si>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</si>
  <si>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</si>
  <si>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</si>
  <si>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</si>
  <si>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</si>
  <si>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</si>
  <si>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</si>
  <si>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</si>
  <si>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</si>
  <si>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</si>
  <si>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</si>
  <si>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</si>
  <si>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</si>
  <si>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</si>
  <si>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</si>
  <si>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</si>
  <si>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</si>
  <si>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</si>
  <si>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</si>
  <si>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</si>
  <si>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</si>
  <si>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</si>
  <si>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</si>
  <si>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</si>
  <si>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</si>
  <si>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</si>
  <si>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</si>
  <si>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</si>
  <si>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</si>
  <si>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</si>
  <si>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</si>
  <si>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</si>
  <si>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</si>
  <si>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</si>
  <si>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</si>
  <si>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</si>
  <si>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</si>
  <si>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</si>
  <si>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</si>
  <si>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</si>
  <si>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</si>
  <si>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</si>
  <si>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</si>
  <si>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</si>
  <si>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</si>
  <si>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</si>
  <si>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</si>
  <si>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</si>
  <si>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</si>
  <si>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</si>
  <si>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</si>
  <si>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</si>
  <si>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</si>
  <si>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</si>
  <si>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</si>
  <si>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</si>
  <si>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</si>
  <si>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</si>
  <si>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</si>
  <si>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</si>
  <si>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</si>
  <si>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</si>
  <si>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</si>
  <si>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</si>
  <si>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</si>
  <si>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</si>
  <si>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</si>
  <si>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</si>
  <si>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</si>
  <si>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</si>
  <si>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</si>
  <si>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</si>
  <si>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</si>
  <si>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</si>
  <si>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</si>
  <si>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</si>
  <si>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</si>
  <si>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</si>
  <si>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</si>
  <si>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</si>
  <si>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</si>
  <si>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</si>
  <si>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</si>
  <si>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</si>
  <si>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</si>
  <si>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</si>
  <si>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</si>
  <si>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</si>
  <si>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</si>
  <si>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</si>
  <si>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</si>
  <si>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</si>
  <si>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</si>
  <si>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</si>
  <si>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</si>
  <si>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</si>
  <si>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</si>
  <si>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</si>
  <si>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</si>
  <si>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</si>
  <si>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</si>
  <si>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</si>
  <si>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</si>
  <si>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</si>
  <si>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</si>
  <si>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</si>
  <si>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</si>
  <si>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</si>
  <si>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</si>
  <si>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</si>
  <si>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</si>
  <si>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</si>
  <si>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</si>
  <si>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</si>
  <si>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</si>
  <si>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</si>
  <si>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</si>
  <si>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</si>
  <si>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</si>
  <si>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</si>
  <si>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</si>
  <si>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</si>
  <si>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</si>
  <si>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</si>
  <si>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</si>
  <si>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</si>
  <si>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</si>
  <si>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</si>
  <si>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</si>
  <si>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</si>
  <si>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</si>
  <si>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</si>
  <si>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</si>
  <si>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</si>
  <si>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</si>
  <si>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</si>
  <si>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</si>
  <si>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</si>
  <si>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</si>
  <si>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</si>
  <si>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</si>
  <si>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</si>
  <si>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</si>
  <si>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</si>
  <si>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</si>
  <si>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</si>
  <si>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</si>
  <si>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</si>
  <si>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</si>
  <si>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</si>
  <si>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</si>
  <si>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</si>
  <si>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</si>
  <si>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</si>
  <si>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</si>
  <si>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</si>
  <si>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</si>
  <si>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</si>
  <si>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</si>
  <si>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</si>
  <si>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</si>
  <si>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</si>
  <si>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</si>
  <si>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</si>
  <si>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</si>
  <si>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</si>
  <si>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</si>
  <si>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</si>
  <si>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</si>
  <si>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</si>
  <si>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</si>
  <si>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</si>
  <si>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</si>
  <si>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</si>
  <si>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</si>
  <si>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</si>
  <si>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</si>
  <si>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</si>
  <si>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</si>
  <si>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</si>
  <si>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</si>
  <si>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</si>
  <si>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</si>
  <si>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</si>
  <si>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</si>
  <si>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</si>
  <si>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</si>
  <si>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</si>
  <si>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</si>
  <si>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</si>
  <si>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</si>
  <si>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</si>
  <si>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</si>
  <si>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</si>
  <si>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</si>
  <si>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</si>
  <si>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</si>
  <si>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</si>
  <si>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</si>
  <si>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</si>
  <si>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</si>
  <si>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</si>
  <si>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</si>
  <si>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</si>
  <si>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</si>
  <si>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</si>
  <si>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</si>
  <si>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</si>
  <si>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</si>
  <si>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</si>
  <si>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</si>
  <si>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</si>
  <si>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</si>
  <si>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</si>
  <si>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</si>
  <si>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</si>
  <si>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</si>
  <si>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</si>
  <si>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</si>
  <si>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</si>
  <si>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</si>
  <si>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</si>
  <si>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</si>
  <si>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</si>
  <si>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</si>
  <si>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</si>
  <si>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</si>
  <si>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</si>
  <si>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</si>
  <si>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</si>
  <si>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</si>
  <si>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</si>
  <si>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</si>
  <si>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</si>
  <si>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</si>
  <si>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</si>
  <si>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</si>
  <si>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</si>
  <si>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</si>
  <si>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</si>
  <si>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</si>
  <si>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</si>
  <si>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</si>
  <si>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</si>
  <si>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</si>
  <si>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</si>
  <si>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</si>
  <si>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</si>
  <si>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</si>
  <si>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</si>
  <si>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</si>
  <si>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</si>
  <si>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</si>
  <si>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</si>
  <si>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</si>
  <si>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</si>
  <si>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</si>
  <si>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</si>
  <si>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</si>
  <si>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</si>
  <si>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</si>
  <si>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</si>
  <si>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</si>
  <si>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</si>
  <si>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</si>
  <si>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</si>
  <si>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</si>
  <si>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</si>
  <si>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</si>
  <si>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</si>
  <si>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</si>
  <si>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</si>
  <si>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</si>
  <si>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</si>
  <si>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</si>
  <si>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</si>
  <si>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</si>
  <si>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</si>
  <si>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</si>
  <si>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</si>
  <si>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</si>
  <si>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</si>
  <si>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</si>
  <si>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</si>
  <si>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</si>
  <si>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</si>
  <si>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</si>
  <si>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</si>
  <si>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</si>
  <si>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</si>
  <si>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</si>
  <si>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</si>
  <si>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</si>
  <si>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</si>
  <si>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</si>
  <si>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</si>
  <si>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</si>
  <si>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</si>
  <si>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</si>
  <si>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</si>
  <si>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</si>
  <si>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</si>
  <si>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</si>
  <si>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</si>
  <si>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</si>
  <si>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</si>
  <si>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</si>
  <si>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</si>
  <si>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</si>
  <si>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</si>
  <si>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</si>
  <si>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</si>
  <si>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</si>
  <si>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</si>
  <si>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</si>
  <si>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</si>
  <si>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</si>
  <si>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</si>
  <si>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</si>
  <si>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</si>
  <si>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</si>
  <si>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</si>
  <si>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</si>
  <si>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</si>
  <si>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</si>
  <si>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</si>
  <si>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</si>
  <si>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</si>
  <si>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</si>
  <si>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</si>
  <si>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</si>
  <si>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</si>
  <si>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</si>
  <si>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</si>
  <si>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</si>
  <si>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</si>
  <si>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</si>
  <si>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</si>
  <si>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</si>
  <si>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</si>
  <si>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</si>
  <si>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</si>
  <si>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</si>
  <si>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</si>
  <si>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</si>
  <si>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</si>
  <si>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</si>
  <si>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</si>
  <si>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</si>
  <si>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</si>
  <si>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</si>
  <si>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</si>
  <si>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</si>
  <si>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</si>
  <si>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</si>
  <si>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</si>
  <si>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</si>
  <si>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</si>
  <si>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</si>
  <si>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</si>
  <si>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</si>
  <si>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</si>
  <si>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</si>
  <si>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</si>
  <si>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</si>
  <si>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</si>
  <si>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</si>
  <si>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</si>
  <si>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</si>
  <si>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</si>
  <si>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</si>
  <si>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</si>
  <si>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</si>
  <si>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</si>
  <si>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</si>
  <si>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</si>
  <si>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</si>
  <si>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</si>
  <si>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</si>
  <si>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</si>
  <si>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</si>
  <si>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</si>
  <si>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</si>
  <si>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</si>
  <si>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</si>
  <si>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</si>
  <si>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</si>
  <si>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</si>
  <si>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</si>
  <si>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</si>
  <si>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</si>
  <si>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</si>
  <si>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</si>
  <si>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</si>
  <si>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</si>
  <si>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</si>
  <si>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</si>
  <si>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</si>
  <si>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</si>
  <si>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</si>
  <si>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</si>
  <si>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</si>
  <si>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</si>
  <si>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</si>
  <si>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</si>
  <si>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</si>
  <si>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</si>
  <si>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</si>
  <si>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</si>
  <si>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</si>
  <si>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</si>
  <si>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</si>
  <si>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</si>
  <si>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</si>
  <si>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</si>
  <si>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</si>
  <si>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</si>
  <si>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</si>
  <si>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</si>
  <si>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</si>
  <si>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</si>
  <si>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</si>
  <si>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</si>
  <si>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</si>
  <si>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</si>
  <si>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</si>
  <si>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</si>
  <si>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</si>
  <si>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</si>
  <si>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</si>
  <si>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</si>
  <si>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</si>
  <si>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</si>
  <si>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</si>
  <si>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</si>
  <si>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</si>
  <si>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</si>
  <si>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</si>
  <si>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</si>
  <si>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</si>
  <si>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</si>
  <si>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</si>
  <si>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</si>
  <si>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</si>
  <si>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</si>
  <si>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</si>
  <si>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</si>
  <si>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</si>
  <si>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</si>
  <si>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</si>
  <si>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</si>
  <si>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</si>
  <si>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</si>
  <si>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</si>
  <si>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</si>
  <si>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</si>
  <si>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</si>
  <si>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</si>
  <si>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</si>
  <si>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</si>
  <si>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</si>
  <si>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</si>
  <si>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</si>
  <si>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</si>
  <si>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</si>
  <si>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</si>
  <si>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</si>
  <si>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</si>
  <si>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</si>
  <si>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</si>
  <si>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</si>
  <si>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</si>
  <si>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</si>
  <si>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</si>
  <si>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</si>
  <si>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</si>
  <si>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</si>
  <si>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</si>
  <si>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</si>
  <si>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</si>
  <si>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</si>
  <si>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</si>
  <si>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</si>
  <si>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</si>
  <si>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</si>
  <si>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</si>
  <si>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</si>
  <si>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</si>
  <si>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</si>
  <si>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</si>
  <si>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</si>
  <si>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</si>
  <si>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</si>
  <si>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</si>
  <si>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</si>
  <si>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</si>
  <si>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</si>
  <si>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</si>
  <si>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</si>
  <si>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</si>
  <si>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</si>
  <si>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</si>
  <si>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</si>
  <si>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</si>
  <si>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</si>
  <si>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</si>
  <si>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</si>
  <si>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</si>
  <si>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</si>
  <si>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</si>
  <si>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</si>
  <si>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</si>
  <si>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</si>
  <si>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</si>
  <si>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</si>
  <si>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</si>
  <si>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</si>
  <si>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</si>
  <si>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</si>
  <si>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</si>
  <si>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</si>
  <si>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</si>
  <si>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</si>
  <si>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</si>
  <si>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</si>
  <si>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</si>
  <si>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</si>
  <si>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</si>
  <si>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</si>
  <si>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</si>
  <si>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</si>
  <si>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</si>
  <si>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</si>
  <si>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</si>
  <si>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</si>
  <si>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</si>
  <si>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</si>
  <si>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</si>
  <si>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</si>
  <si>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</si>
  <si>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</si>
  <si>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</si>
  <si>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</si>
  <si>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</si>
  <si>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</si>
  <si>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</si>
  <si>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</si>
  <si>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</si>
  <si>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</si>
  <si>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</si>
  <si>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</si>
  <si>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</si>
  <si>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</si>
  <si>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</si>
  <si>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</si>
  <si>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</si>
  <si>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</si>
  <si>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</si>
  <si>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</si>
  <si>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</si>
  <si>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</si>
  <si>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</si>
  <si>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</si>
  <si>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</si>
  <si>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</si>
  <si>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</si>
  <si>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</si>
  <si>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</si>
  <si>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</si>
  <si>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</si>
  <si>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</si>
  <si>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</si>
  <si>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</si>
  <si>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</si>
  <si>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</si>
  <si>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</si>
  <si>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</si>
  <si>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</si>
  <si>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</si>
  <si>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</si>
  <si>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</si>
  <si>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</si>
  <si>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</si>
  <si>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</si>
  <si>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</si>
  <si>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</si>
  <si>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</si>
  <si>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</si>
  <si>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</si>
  <si>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</si>
  <si>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</si>
  <si>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</si>
  <si>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</si>
  <si>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</si>
  <si>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</si>
  <si>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</si>
  <si>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</si>
  <si>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</si>
  <si>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</si>
  <si>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</si>
  <si>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</si>
  <si>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</si>
  <si>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</si>
  <si>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</si>
  <si>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</si>
  <si>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</si>
  <si>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</si>
  <si>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</si>
  <si>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</si>
  <si>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</si>
  <si>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</si>
  <si>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</si>
  <si>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</si>
  <si>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</si>
  <si>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</si>
  <si>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</si>
  <si>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</si>
  <si>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</si>
  <si>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</si>
  <si>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</si>
  <si>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</si>
  <si>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</si>
  <si>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</si>
  <si>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</si>
  <si>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</si>
  <si>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</si>
  <si>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</si>
  <si>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</si>
  <si>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</si>
  <si>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</si>
  <si>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</si>
  <si>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</si>
  <si>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</si>
  <si>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</si>
  <si>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</si>
  <si>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</si>
  <si>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</si>
  <si>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</si>
  <si>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</si>
  <si>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</si>
  <si>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</si>
  <si>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</si>
  <si>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</si>
  <si>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</si>
  <si>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</si>
  <si>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</si>
  <si>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</si>
  <si>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</si>
  <si>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</si>
  <si>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</si>
  <si>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</si>
  <si>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</si>
  <si>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</si>
  <si>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</si>
  <si>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</si>
  <si>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</si>
  <si>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</si>
  <si>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</si>
  <si>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</si>
  <si>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</si>
  <si>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</si>
  <si>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</si>
  <si>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</si>
  <si>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</si>
  <si>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</si>
  <si>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</si>
  <si>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</si>
  <si>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</si>
  <si>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</si>
  <si>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</si>
  <si>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</si>
  <si>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</si>
  <si>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</si>
  <si>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</si>
  <si>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</si>
  <si>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</si>
  <si>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</si>
  <si>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</si>
  <si>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</si>
  <si>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</si>
  <si>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</si>
  <si>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</si>
  <si>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</si>
  <si>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</si>
  <si>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</si>
  <si>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</si>
  <si>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</si>
  <si>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</si>
  <si>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</si>
  <si>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</si>
  <si>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</si>
  <si>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</si>
  <si>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</si>
  <si>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</si>
  <si>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</si>
  <si>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</si>
  <si>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</si>
  <si>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</si>
  <si>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</si>
  <si>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</si>
  <si>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</si>
  <si>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</si>
  <si>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</si>
  <si>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</si>
  <si>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</si>
  <si>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</si>
  <si>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</si>
  <si>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</si>
  <si>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</si>
  <si>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</si>
  <si>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</si>
  <si>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</si>
  <si>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</si>
  <si>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</si>
  <si>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</si>
  <si>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</si>
  <si>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</si>
  <si>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</si>
  <si>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</si>
  <si>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</si>
  <si>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</si>
  <si>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</si>
  <si>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</si>
  <si>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</si>
  <si>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</si>
  <si>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</si>
  <si>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</si>
  <si>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</si>
  <si>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</si>
  <si>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</si>
  <si>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</si>
  <si>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</si>
  <si>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</si>
  <si>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</si>
  <si>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</si>
  <si>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</si>
  <si>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</si>
  <si>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</si>
  <si>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</si>
  <si>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</si>
  <si>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</si>
  <si>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</si>
  <si>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</si>
  <si>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</si>
  <si>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</si>
  <si>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</si>
  <si>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</si>
  <si>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</si>
  <si>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</si>
  <si>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</si>
  <si>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</si>
  <si>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</si>
  <si>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</si>
  <si>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</si>
  <si>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</si>
  <si>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</si>
  <si>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</si>
  <si>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</si>
  <si>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</si>
  <si>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</si>
  <si>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</si>
  <si>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</si>
  <si>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</si>
  <si>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</si>
  <si>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</si>
  <si>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</si>
  <si>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</si>
  <si>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</si>
  <si>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</si>
  <si>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</si>
  <si>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</si>
  <si>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</si>
  <si>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</si>
  <si>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</si>
  <si>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</si>
  <si>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</si>
  <si>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</si>
  <si>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</si>
  <si>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</si>
  <si>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</si>
  <si>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</si>
  <si>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</si>
  <si>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</si>
  <si>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</si>
  <si>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</si>
  <si>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</si>
  <si>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</si>
  <si>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</si>
  <si>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</si>
  <si>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</si>
  <si>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</si>
  <si>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</si>
  <si>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</si>
  <si>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</si>
  <si>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</si>
  <si>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</si>
  <si>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</si>
  <si>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</si>
  <si>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</si>
  <si>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</si>
  <si>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</si>
  <si>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</si>
  <si>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</si>
  <si>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</si>
  <si>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</si>
  <si>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</si>
  <si>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</si>
  <si>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</si>
  <si>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</si>
  <si>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</si>
  <si>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</si>
  <si>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</si>
  <si>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</si>
  <si>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</si>
  <si>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</si>
  <si>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</si>
  <si>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</si>
  <si>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</si>
  <si>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</si>
  <si>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</si>
  <si>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</si>
  <si>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</si>
  <si>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</si>
  <si>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</si>
  <si>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</si>
  <si>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</si>
  <si>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</si>
  <si>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</si>
  <si>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</si>
  <si>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</si>
  <si>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</si>
  <si>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</si>
  <si>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</si>
  <si>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</si>
  <si>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</si>
  <si>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</si>
  <si>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</si>
  <si>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</si>
  <si>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</si>
  <si>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</si>
  <si>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</si>
  <si>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</si>
  <si>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</si>
  <si>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</si>
  <si>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</si>
  <si>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</si>
  <si>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</si>
  <si>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</si>
  <si>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</si>
  <si>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</si>
  <si>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</si>
  <si>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</si>
  <si>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</si>
  <si>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</si>
  <si>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</si>
  <si>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</si>
  <si>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</si>
  <si>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</si>
  <si>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</si>
  <si>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</si>
  <si>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</si>
  <si>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</si>
  <si>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</si>
  <si>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</si>
  <si>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</si>
  <si>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</si>
  <si>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</si>
  <si>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</si>
  <si>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</si>
  <si>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</si>
  <si>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</si>
  <si>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</si>
  <si>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</si>
  <si>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</si>
  <si>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</si>
  <si>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</si>
  <si>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</si>
  <si>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</si>
  <si>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</si>
  <si>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</si>
  <si>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</si>
  <si>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</si>
  <si>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</si>
  <si>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</si>
  <si>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</si>
  <si>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</si>
  <si>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</si>
  <si>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</si>
  <si>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</si>
  <si>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</si>
  <si>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</si>
  <si>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</si>
  <si>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</si>
  <si>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</si>
  <si>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</si>
  <si>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</si>
  <si>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</si>
  <si>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</si>
  <si>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</si>
  <si>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</si>
  <si>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</si>
  <si>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</si>
  <si>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</si>
  <si>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</si>
  <si>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</si>
  <si>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</si>
  <si>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</si>
  <si>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</si>
  <si>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</si>
  <si>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</si>
  <si>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</si>
  <si>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</si>
  <si>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</si>
  <si>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</si>
  <si>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</si>
  <si>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</si>
  <si>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</si>
  <si>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</si>
  <si>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</si>
  <si>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</si>
  <si>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</si>
  <si>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</si>
  <si>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</si>
  <si>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</si>
  <si>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</si>
  <si>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</si>
  <si>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</si>
  <si>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</si>
  <si>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</si>
  <si>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</si>
  <si>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</si>
  <si>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</si>
  <si>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</si>
  <si>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</si>
  <si>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</si>
  <si>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</si>
  <si>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</si>
  <si>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</si>
  <si>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</si>
  <si>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</si>
  <si>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</si>
  <si>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</si>
  <si>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</si>
  <si>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</si>
  <si>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</si>
  <si>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</si>
  <si>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</si>
  <si>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</si>
  <si>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</si>
  <si>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</si>
  <si>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</si>
  <si>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</si>
  <si>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</si>
  <si>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</si>
  <si>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</si>
  <si>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</si>
  <si>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</si>
  <si>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</si>
  <si>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</si>
  <si>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</si>
  <si>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</si>
  <si>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</si>
  <si>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</si>
  <si>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</si>
  <si>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</si>
  <si>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</si>
  <si>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</si>
  <si>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</si>
  <si>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</si>
  <si>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</si>
  <si>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</si>
  <si>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</si>
  <si>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</si>
  <si>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</si>
  <si>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</si>
  <si>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</si>
  <si>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</si>
  <si>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</si>
  <si>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</si>
  <si>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</si>
  <si>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</si>
  <si>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</si>
  <si>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</si>
  <si>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</si>
  <si>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</si>
  <si>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</si>
  <si>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</si>
  <si>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</si>
  <si>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</si>
  <si>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</si>
  <si>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</si>
  <si>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</si>
  <si>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</si>
  <si>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</si>
  <si>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</si>
  <si>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</si>
  <si>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</si>
  <si>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</si>
  <si>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</si>
  <si>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</si>
  <si>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</si>
  <si>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</si>
  <si>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</si>
  <si>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</si>
  <si>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</si>
  <si>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</si>
  <si>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</si>
  <si>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</si>
  <si>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</si>
  <si>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</si>
  <si>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</si>
  <si>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</si>
  <si>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</si>
  <si>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</si>
  <si>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</si>
  <si>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</si>
  <si>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</si>
  <si>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</si>
  <si>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</si>
  <si>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</si>
  <si>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</si>
  <si>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</si>
  <si>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</si>
  <si>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</si>
  <si>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</si>
  <si>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</si>
  <si>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</si>
  <si>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</si>
  <si>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</si>
  <si>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</si>
  <si>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</si>
  <si>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</si>
  <si>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</si>
  <si>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</si>
  <si>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</si>
  <si>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</si>
  <si>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</si>
  <si>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</si>
  <si>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</si>
  <si>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</si>
  <si>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</si>
  <si>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</si>
  <si>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</si>
  <si>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</si>
  <si>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</si>
  <si>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</si>
  <si>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</si>
  <si>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</si>
  <si>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</si>
  <si>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</si>
  <si>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</si>
  <si>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</si>
  <si>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</si>
  <si>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</si>
  <si>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</si>
  <si>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</si>
  <si>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</si>
  <si>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</si>
  <si>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</si>
  <si>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</si>
  <si>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</si>
  <si>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</si>
  <si>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</si>
  <si>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</si>
  <si>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</si>
  <si>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</si>
  <si>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</si>
  <si>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</si>
  <si>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</si>
  <si>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</si>
  <si>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</si>
  <si>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</si>
  <si>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</si>
  <si>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</si>
  <si>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</si>
  <si>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</si>
  <si>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</si>
  <si>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</si>
  <si>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</si>
  <si>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</si>
  <si>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</si>
  <si>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</si>
  <si>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</si>
  <si>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</si>
  <si>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</si>
  <si>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</si>
  <si>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</si>
  <si>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</si>
  <si>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</si>
  <si>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</si>
  <si>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</si>
  <si>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</si>
  <si>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</si>
  <si>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</si>
  <si>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</si>
  <si>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</si>
  <si>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</si>
  <si>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</si>
  <si>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</si>
  <si>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</si>
  <si>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</si>
  <si>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</si>
  <si>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</si>
  <si>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</si>
  <si>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</si>
  <si>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</si>
  <si>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</si>
  <si>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</si>
  <si>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</si>
  <si>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</si>
  <si>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</si>
  <si>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</si>
  <si>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</si>
  <si>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</si>
  <si>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</si>
  <si>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</si>
  <si>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</si>
  <si>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</si>
  <si>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</si>
  <si>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</si>
  <si>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</si>
  <si>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</si>
  <si>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</si>
  <si>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</si>
  <si>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</si>
  <si>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</si>
  <si>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</si>
  <si>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</si>
  <si>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</si>
  <si>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</si>
  <si>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</si>
  <si>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</si>
  <si>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</si>
  <si>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</si>
  <si>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</si>
  <si>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</si>
  <si>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</si>
  <si>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</si>
  <si>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</si>
  <si>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</si>
  <si>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</si>
  <si>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</si>
  <si>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</si>
  <si>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</si>
  <si>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</si>
  <si>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</si>
  <si>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</si>
  <si>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</si>
  <si>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</si>
  <si>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</si>
  <si>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</si>
  <si>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</si>
  <si>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</si>
  <si>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</si>
  <si>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</si>
  <si>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</si>
  <si>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</si>
  <si>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</si>
  <si>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</si>
  <si>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</si>
  <si>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</si>
  <si>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</si>
  <si>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</si>
  <si>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</si>
  <si>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</si>
  <si>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</si>
  <si>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</si>
  <si>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</si>
  <si>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</si>
  <si>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</si>
  <si>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</si>
  <si>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</si>
  <si>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</si>
  <si>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</si>
  <si>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</si>
  <si>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</si>
  <si>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</si>
  <si>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</si>
  <si>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</si>
  <si>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</si>
  <si>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</si>
  <si>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</si>
  <si>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</si>
  <si>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</si>
  <si>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</si>
  <si>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</si>
  <si>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</si>
  <si>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</si>
  <si>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</si>
  <si>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</si>
  <si>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</si>
  <si>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</si>
  <si>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</si>
  <si>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</si>
  <si>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</si>
  <si>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</si>
  <si>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</si>
  <si>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</si>
  <si>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</si>
  <si>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</si>
  <si>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</si>
  <si>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</si>
  <si>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</si>
  <si>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</si>
  <si>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</si>
  <si>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</si>
  <si>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</si>
  <si>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</si>
  <si>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</si>
  <si>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</si>
  <si>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</si>
  <si>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</si>
  <si>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</si>
  <si>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</si>
  <si>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</si>
  <si>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</si>
  <si>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</si>
  <si>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</si>
  <si>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</si>
  <si>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</si>
  <si>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</si>
  <si>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</si>
  <si>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</si>
  <si>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</si>
  <si>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</si>
  <si>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</si>
  <si>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</si>
  <si>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</si>
  <si>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</si>
  <si>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</si>
  <si>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</si>
  <si>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</si>
  <si>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</si>
  <si>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</si>
  <si>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</si>
  <si>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</si>
  <si>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</si>
  <si>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</si>
  <si>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</si>
  <si>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</si>
  <si>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</si>
  <si>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</si>
  <si>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</si>
  <si>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</si>
  <si>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</si>
  <si>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</si>
  <si>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</si>
  <si>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</si>
  <si>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</si>
  <si>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</si>
  <si>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</si>
  <si>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</si>
  <si>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</si>
  <si>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</si>
  <si>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</si>
  <si>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</si>
  <si>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</si>
  <si>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</si>
  <si>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</si>
  <si>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</si>
  <si>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</si>
  <si>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</si>
  <si>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</si>
  <si>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</si>
  <si>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</si>
  <si>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</si>
  <si>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</si>
  <si>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</si>
  <si>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</si>
  <si>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</si>
  <si>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</si>
  <si>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</si>
  <si>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</si>
  <si>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</si>
  <si>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</si>
  <si>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</si>
  <si>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</si>
  <si>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</si>
  <si>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</si>
  <si>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</si>
  <si>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</si>
  <si>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</si>
  <si>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</si>
  <si>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</si>
  <si>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</si>
  <si>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</si>
  <si>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</si>
  <si>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</si>
  <si>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</si>
  <si>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</si>
  <si>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</si>
  <si>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</si>
  <si>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</si>
  <si>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</si>
  <si>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</si>
  <si>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</si>
  <si>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</si>
  <si>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</si>
  <si>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</si>
  <si>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</si>
  <si>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</si>
  <si>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</si>
  <si>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</si>
  <si>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</si>
  <si>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</si>
  <si>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</si>
  <si>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</si>
  <si>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</si>
  <si>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</si>
  <si>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</si>
  <si>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</si>
  <si>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</si>
  <si>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</si>
  <si>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</si>
  <si>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</si>
  <si>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</si>
  <si>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</si>
  <si>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</si>
  <si>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</si>
  <si>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</si>
  <si>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</si>
  <si>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</si>
  <si>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</si>
  <si>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</si>
  <si>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</si>
  <si>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</si>
  <si>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</si>
  <si>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</si>
  <si>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</si>
  <si>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</si>
  <si>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</si>
  <si>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</si>
  <si>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</si>
  <si>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</si>
  <si>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</si>
  <si>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</si>
  <si>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</si>
  <si>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</si>
  <si>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</si>
  <si>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</si>
  <si>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</si>
  <si>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</si>
  <si>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</si>
  <si>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</si>
  <si>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</si>
  <si>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</si>
  <si>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</si>
  <si>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</si>
  <si>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</si>
  <si>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</si>
  <si>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</si>
  <si>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</si>
  <si>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</si>
  <si>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</si>
  <si>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</si>
  <si>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</si>
  <si>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</si>
  <si>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</si>
  <si>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</si>
  <si>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</si>
  <si>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</si>
  <si>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</si>
  <si>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</si>
  <si>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</si>
  <si>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</si>
  <si>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</si>
  <si>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</si>
  <si>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</si>
  <si>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</si>
  <si>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</si>
  <si>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</si>
  <si>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</si>
  <si>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</si>
  <si>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</si>
  <si>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</si>
  <si>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</si>
  <si>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</si>
  <si>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</si>
  <si>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</si>
  <si>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</si>
  <si>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</si>
  <si>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</si>
  <si>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</si>
  <si>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</si>
  <si>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</si>
  <si>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</si>
  <si>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</si>
  <si>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</si>
  <si>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</si>
  <si>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</si>
  <si>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</si>
  <si>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</si>
  <si>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</si>
  <si>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</si>
  <si>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</si>
  <si>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</si>
  <si>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</si>
  <si>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</si>
  <si>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</si>
  <si>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</si>
  <si>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</si>
  <si>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</si>
  <si>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</si>
  <si>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</si>
  <si>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</si>
  <si>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</si>
  <si>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</si>
  <si>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</si>
  <si>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</si>
  <si>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</si>
  <si>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</si>
  <si>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</si>
  <si>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</si>
  <si>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</si>
  <si>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</si>
  <si>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</si>
  <si>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</si>
  <si>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</si>
  <si>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</si>
  <si>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</si>
  <si>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</si>
  <si>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</si>
  <si>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</si>
  <si>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</si>
  <si>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</si>
  <si>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</si>
  <si>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</si>
  <si>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</si>
  <si>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</si>
  <si>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</si>
  <si>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</si>
  <si>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</si>
  <si>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</si>
  <si>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</si>
  <si>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</si>
  <si>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</si>
  <si>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</si>
  <si>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</si>
  <si>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</si>
  <si>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</si>
  <si>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</si>
  <si>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</si>
  <si>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</si>
  <si>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</si>
  <si>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</si>
  <si>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</si>
  <si>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</si>
  <si>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</si>
  <si>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</si>
  <si>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</si>
  <si>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</si>
  <si>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</si>
  <si>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</si>
  <si>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</si>
  <si>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</si>
  <si>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</si>
  <si>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</si>
  <si>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</si>
  <si>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</si>
  <si>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</si>
  <si>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</si>
  <si>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</si>
  <si>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</si>
  <si>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</si>
  <si>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</si>
  <si>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</si>
  <si>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</si>
  <si>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</si>
  <si>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</si>
  <si>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</si>
  <si>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</si>
  <si>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</si>
  <si>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</si>
  <si>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</si>
  <si>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</si>
  <si>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</si>
  <si>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</si>
  <si>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</si>
  <si>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</si>
  <si>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</si>
  <si>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</si>
  <si>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</si>
  <si>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</si>
  <si>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</si>
  <si>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</si>
  <si>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</si>
  <si>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</si>
  <si>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</si>
  <si>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</si>
  <si>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</si>
  <si>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</si>
  <si>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</si>
  <si>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</si>
  <si>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</si>
  <si>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</si>
  <si>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</si>
  <si>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</si>
  <si>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</si>
  <si>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</si>
  <si>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</si>
  <si>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</si>
  <si>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</si>
  <si>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</si>
  <si>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</si>
  <si>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</si>
  <si>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</si>
  <si>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</si>
  <si>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</si>
  <si>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</si>
  <si>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</si>
  <si>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</si>
  <si>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</si>
  <si>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</si>
  <si>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</si>
  <si>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</si>
  <si>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</si>
  <si>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</si>
  <si>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</si>
  <si>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</si>
  <si>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</si>
  <si>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</si>
  <si>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</si>
  <si>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</si>
  <si>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</si>
  <si>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</si>
  <si>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</si>
  <si>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</si>
  <si>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</si>
  <si>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</si>
  <si>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</si>
  <si>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</si>
  <si>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</si>
  <si>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</si>
  <si>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</si>
  <si>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</si>
  <si>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</si>
  <si>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</si>
  <si>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</si>
  <si>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</si>
  <si>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</si>
  <si>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</si>
  <si>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</si>
  <si>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</si>
  <si>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</si>
  <si>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</si>
  <si>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</si>
  <si>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</si>
  <si>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</si>
  <si>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</si>
  <si>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</si>
  <si>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</si>
  <si>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</si>
  <si>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</si>
  <si>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</si>
  <si>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</si>
  <si>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</si>
  <si>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</si>
  <si>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</si>
  <si>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</si>
  <si>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</si>
  <si>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</si>
  <si>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</si>
  <si>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</si>
  <si>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</si>
  <si>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</si>
  <si>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</si>
  <si>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</si>
  <si>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</si>
  <si>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</si>
  <si>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</si>
  <si>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</si>
  <si>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</si>
  <si>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</si>
  <si>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</si>
  <si>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</si>
  <si>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</si>
  <si>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</si>
  <si>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</si>
  <si>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</si>
  <si>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</si>
  <si>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</si>
  <si>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</si>
  <si>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</si>
  <si>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</si>
  <si>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</si>
  <si>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</si>
  <si>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</si>
  <si>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</si>
  <si>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</si>
  <si>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</si>
  <si>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</si>
  <si>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</si>
  <si>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</si>
  <si>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</si>
  <si>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</si>
  <si>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</si>
  <si>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</si>
  <si>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</si>
  <si>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</si>
  <si>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</si>
  <si>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</si>
  <si>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</si>
  <si>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</si>
  <si>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</si>
  <si>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</si>
  <si>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</si>
  <si>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</si>
  <si>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</si>
  <si>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</si>
  <si>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</si>
  <si>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</si>
  <si>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</si>
  <si>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</si>
  <si>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</si>
  <si>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</si>
  <si>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</si>
  <si>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</si>
  <si>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</si>
  <si>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</si>
  <si>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</si>
  <si>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</si>
  <si>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</si>
  <si>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</si>
  <si>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</si>
  <si>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</si>
  <si>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</si>
  <si>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</si>
  <si>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</si>
  <si>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</si>
  <si>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</si>
  <si>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</si>
  <si>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</si>
  <si>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</si>
  <si>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</si>
  <si>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</si>
  <si>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</si>
  <si>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</si>
  <si>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</si>
  <si>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</si>
  <si>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</si>
  <si>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</si>
  <si>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</si>
  <si>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</si>
  <si>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</si>
  <si>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</si>
  <si>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</si>
  <si>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</si>
  <si>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</si>
  <si>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</si>
  <si>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</si>
  <si>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</si>
  <si>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</si>
  <si>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</si>
  <si>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</si>
  <si>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</si>
  <si>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</si>
  <si>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</si>
  <si>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</si>
  <si>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</si>
  <si>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</si>
  <si>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</si>
  <si>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</si>
  <si>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</si>
  <si>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</si>
  <si>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</si>
  <si>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</si>
  <si>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</si>
  <si>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</si>
  <si>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</si>
  <si>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</si>
  <si>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</si>
  <si>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</si>
  <si>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</si>
  <si>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</si>
  <si>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</si>
  <si>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</si>
  <si>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</si>
  <si>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</si>
  <si>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</si>
  <si>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</si>
  <si>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</si>
  <si>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</si>
  <si>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</si>
  <si>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</si>
  <si>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</si>
  <si>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</si>
  <si>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</si>
  <si>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</si>
  <si>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</si>
  <si>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</si>
  <si>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</si>
  <si>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</si>
  <si>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</si>
  <si>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</si>
  <si>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</si>
  <si>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</si>
  <si>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</si>
  <si>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</si>
  <si>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</si>
  <si>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</si>
  <si>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</si>
  <si>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</si>
  <si>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</si>
  <si>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</si>
  <si>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</si>
  <si>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</si>
  <si>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</si>
  <si>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</si>
  <si>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</si>
  <si>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</si>
  <si>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</si>
  <si>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</si>
  <si>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</si>
  <si>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</si>
  <si>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</si>
  <si>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</si>
  <si>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</si>
  <si>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</si>
  <si>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</si>
  <si>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</si>
  <si>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</si>
  <si>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</si>
  <si>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</si>
  <si>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</si>
  <si>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</si>
  <si>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</si>
  <si>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</si>
  <si>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</si>
  <si>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</si>
  <si>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</si>
  <si>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</si>
  <si>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</si>
  <si>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</si>
  <si>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</si>
  <si>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</si>
  <si>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</si>
  <si>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</si>
  <si>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</si>
  <si>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</si>
  <si>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</si>
  <si>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</si>
  <si>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</si>
  <si>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</si>
  <si>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</si>
  <si>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</si>
  <si>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</si>
  <si>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</si>
  <si>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</si>
  <si>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</si>
  <si>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</si>
  <si>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</si>
  <si>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</si>
  <si>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</si>
  <si>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</si>
  <si>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</si>
  <si>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</si>
  <si>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</si>
  <si>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</si>
  <si>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</si>
  <si>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</si>
  <si>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</si>
  <si>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</si>
  <si>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</si>
  <si>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</si>
  <si>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</si>
  <si>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</si>
  <si>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</si>
  <si>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</si>
  <si>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</si>
  <si>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</si>
  <si>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</si>
  <si>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</si>
  <si>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</si>
  <si>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</si>
  <si>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</si>
  <si>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</si>
  <si>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</si>
  <si>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</si>
  <si>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</si>
  <si>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</si>
  <si>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</si>
  <si>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</si>
  <si>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</si>
  <si>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</si>
  <si>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</si>
  <si>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</si>
  <si>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</si>
  <si>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</si>
  <si>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</si>
  <si>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</si>
  <si>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</si>
  <si>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</si>
  <si>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</si>
  <si>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</si>
  <si>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</si>
  <si>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</si>
  <si>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</si>
  <si>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</si>
  <si>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</si>
  <si>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</si>
  <si>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</si>
  <si>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</si>
  <si>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</si>
  <si>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</si>
  <si>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</si>
  <si>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</si>
  <si>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</si>
  <si>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</si>
  <si>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</si>
  <si>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</si>
  <si>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</si>
  <si>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</si>
  <si>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</si>
  <si>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</si>
  <si>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</si>
  <si>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</si>
  <si>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</si>
  <si>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</si>
  <si>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</si>
  <si>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</si>
  <si>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</si>
  <si>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</si>
  <si>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</si>
  <si>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</si>
  <si>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</si>
  <si>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</si>
  <si>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</si>
  <si>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</si>
  <si>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</si>
  <si>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</si>
  <si>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</si>
  <si>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</si>
  <si>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</si>
  <si>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</si>
  <si>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</si>
  <si>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</si>
  <si>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</si>
  <si>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</si>
  <si>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</si>
  <si>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</si>
  <si>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</si>
  <si>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</si>
  <si>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</si>
  <si>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</si>
  <si>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</si>
  <si>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</si>
  <si>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</si>
  <si>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</si>
  <si>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</si>
  <si>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</si>
  <si>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</si>
  <si>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</si>
  <si>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</si>
  <si>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</si>
  <si>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</si>
  <si>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</si>
  <si>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</si>
  <si>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</si>
  <si>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</si>
  <si>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</si>
  <si>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</si>
  <si>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</si>
  <si>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</si>
  <si>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</si>
  <si>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</si>
  <si>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</si>
  <si>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</si>
  <si>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</si>
  <si>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</si>
  <si>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</si>
  <si>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</si>
  <si>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</si>
  <si>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</si>
  <si>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</si>
  <si>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</si>
  <si>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</si>
  <si>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</si>
  <si>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</si>
  <si>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</si>
  <si>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</si>
  <si>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</si>
  <si>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</si>
  <si>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</si>
  <si>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</si>
  <si>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</si>
  <si>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</si>
  <si>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</si>
  <si>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</si>
  <si>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</si>
  <si>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</si>
  <si>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</si>
  <si>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</si>
  <si>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</si>
  <si>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</si>
  <si>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</si>
  <si>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</si>
  <si>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</si>
  <si>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</si>
  <si>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</si>
  <si>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</si>
  <si>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</si>
  <si>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</si>
  <si>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</si>
  <si>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</si>
  <si>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</si>
  <si>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</si>
  <si>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</si>
  <si>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</si>
  <si>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</si>
  <si>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</si>
  <si>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</si>
  <si>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</si>
  <si>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</si>
  <si>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</si>
  <si>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</si>
  <si>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</si>
  <si>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</si>
  <si>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</si>
  <si>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</si>
  <si>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</si>
  <si>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</si>
  <si>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</si>
  <si>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</si>
  <si>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</si>
  <si>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</si>
  <si>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</si>
  <si>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</si>
  <si>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</si>
  <si>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</si>
  <si>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</si>
  <si>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</si>
  <si>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</si>
  <si>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</si>
  <si>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</si>
  <si>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</si>
  <si>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</si>
  <si>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</si>
  <si>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</si>
  <si>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</si>
  <si>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</si>
  <si>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</si>
  <si>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</si>
  <si>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</si>
  <si>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</si>
  <si>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</si>
  <si>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</si>
  <si>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</si>
  <si>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</si>
  <si>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</si>
  <si>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</si>
  <si>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</si>
  <si>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</si>
  <si>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</si>
  <si>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</si>
  <si>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</si>
  <si>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</si>
  <si>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</si>
  <si>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</si>
  <si>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</si>
  <si>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</si>
  <si>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</si>
  <si>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</si>
  <si>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</si>
  <si>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</si>
  <si>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</si>
  <si>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</si>
  <si>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</si>
  <si>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</si>
  <si>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</si>
  <si>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</si>
  <si>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</si>
  <si>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</si>
  <si>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</si>
  <si>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</si>
  <si>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</si>
  <si>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</si>
  <si>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</si>
  <si>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</si>
  <si>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</si>
  <si>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</si>
  <si>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</si>
  <si>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</si>
  <si>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</si>
  <si>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</si>
  <si>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</si>
  <si>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</si>
  <si>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</si>
  <si>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</si>
  <si>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</si>
  <si>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</si>
  <si>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</si>
  <si>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</si>
  <si>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</si>
  <si>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</si>
  <si>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</si>
  <si>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</si>
  <si>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</si>
  <si>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</si>
  <si>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</si>
  <si>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</si>
  <si>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</si>
  <si>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</si>
  <si>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</si>
  <si>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</si>
  <si>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</si>
  <si>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</si>
  <si>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</si>
  <si>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</si>
  <si>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</si>
  <si>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</si>
  <si>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</si>
  <si>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</si>
  <si>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</si>
  <si>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</si>
  <si>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</si>
  <si>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</si>
  <si>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</si>
  <si>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</si>
  <si>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</si>
  <si>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</si>
  <si>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</si>
  <si>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</si>
  <si>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</si>
  <si>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</si>
  <si>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</si>
  <si>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</si>
  <si>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</si>
  <si>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</si>
  <si>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</si>
  <si>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</si>
  <si>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</si>
  <si>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</si>
  <si>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</si>
  <si>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</si>
  <si>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</si>
  <si>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</si>
  <si>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</si>
  <si>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</si>
  <si>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</si>
  <si>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</si>
  <si>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</si>
  <si>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</si>
  <si>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</si>
  <si>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</si>
  <si>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</si>
  <si>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</si>
  <si>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</si>
  <si>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</si>
  <si>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</si>
  <si>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</si>
  <si>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</si>
  <si>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</si>
  <si>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</si>
  <si>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</si>
  <si>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</si>
  <si>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</si>
  <si>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</si>
  <si>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</si>
  <si>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</si>
  <si>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</si>
  <si>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</si>
  <si>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</si>
  <si>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</si>
  <si>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</si>
  <si>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</si>
  <si>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</si>
  <si>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</si>
  <si>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</si>
  <si>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</si>
  <si>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</si>
  <si>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</si>
  <si>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</si>
  <si>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</si>
  <si>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</si>
  <si>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</si>
  <si>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</si>
  <si>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</si>
  <si>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</si>
  <si>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</si>
  <si>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</si>
  <si>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</si>
  <si>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</si>
  <si>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</si>
  <si>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</si>
  <si>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</si>
  <si>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</si>
  <si>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</si>
  <si>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</si>
  <si>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</si>
  <si>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</si>
  <si>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</si>
  <si>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</si>
  <si>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</si>
  <si>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</si>
  <si>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</si>
  <si>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</si>
  <si>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</si>
  <si>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</si>
  <si>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</si>
  <si>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</si>
  <si>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</si>
  <si>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</si>
  <si>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</si>
  <si>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</si>
  <si>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</si>
  <si>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</si>
  <si>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</si>
  <si>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</si>
  <si>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</si>
  <si>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</si>
  <si>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</si>
  <si>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</si>
  <si>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</si>
  <si>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</si>
  <si>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</si>
  <si>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</si>
  <si>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</si>
  <si>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</si>
  <si>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</si>
  <si>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</si>
  <si>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</si>
  <si>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</si>
  <si>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</si>
  <si>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</si>
  <si>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</si>
  <si>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</si>
  <si>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</si>
  <si>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</si>
  <si>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</si>
  <si>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</si>
  <si>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</si>
  <si>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</si>
  <si>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</si>
  <si>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</si>
  <si>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</si>
  <si>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</si>
  <si>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</si>
  <si>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</si>
  <si>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</si>
  <si>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</si>
  <si>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</si>
  <si>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</si>
  <si>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</si>
  <si>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</si>
  <si>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</si>
  <si>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</si>
  <si>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</si>
  <si>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</si>
  <si>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</si>
  <si>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</si>
  <si>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</si>
  <si>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</si>
  <si>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</si>
  <si>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</si>
  <si>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</si>
  <si>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</si>
  <si>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</si>
  <si>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</si>
  <si>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</si>
  <si>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</si>
  <si>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</si>
  <si>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</si>
  <si>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</si>
  <si>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</si>
  <si>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</si>
  <si>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</si>
  <si>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</si>
  <si>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</si>
  <si>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</si>
  <si>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</si>
  <si>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</si>
  <si>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</si>
  <si>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</si>
  <si>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</si>
  <si>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</si>
  <si>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</si>
  <si>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</si>
  <si>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</si>
  <si>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</si>
  <si>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</si>
  <si>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</si>
  <si>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</si>
  <si>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</si>
  <si>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</si>
  <si>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</si>
  <si>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</si>
  <si>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</si>
  <si>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</si>
  <si>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</si>
  <si>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</si>
  <si>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</si>
  <si>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</si>
  <si>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</si>
  <si>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</si>
  <si>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</si>
  <si>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</si>
  <si>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</si>
  <si>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</si>
  <si>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</si>
  <si>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</si>
  <si>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</si>
  <si>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</si>
  <si>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</si>
  <si>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</si>
  <si>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</si>
  <si>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</si>
  <si>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</si>
  <si>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</si>
  <si>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</si>
  <si>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</si>
  <si>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</si>
  <si>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</si>
  <si>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</si>
  <si>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</si>
  <si>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</si>
  <si>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</si>
  <si>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</si>
  <si>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</si>
  <si>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</si>
  <si>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</si>
  <si>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</si>
  <si>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</si>
  <si>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</si>
  <si>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</si>
  <si>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</si>
  <si>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</si>
  <si>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</si>
  <si>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</si>
  <si>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</si>
  <si>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</si>
  <si>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</si>
  <si>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</si>
  <si>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</si>
  <si>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</si>
  <si>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</si>
  <si>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</si>
  <si>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</si>
  <si>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</si>
  <si>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</si>
  <si>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</si>
  <si>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</si>
  <si>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</si>
  <si>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</si>
  <si>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</si>
  <si>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</si>
  <si>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</si>
  <si>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</si>
  <si>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</si>
  <si>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</si>
  <si>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</si>
  <si>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</si>
  <si>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</si>
  <si>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</si>
  <si>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</si>
  <si>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</si>
  <si>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</si>
  <si>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</si>
  <si>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</si>
  <si>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</si>
  <si>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</si>
  <si>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</si>
  <si>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</si>
  <si>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</si>
  <si>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</si>
  <si>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</si>
  <si>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</si>
  <si>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</si>
  <si>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</si>
  <si>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</si>
  <si>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</si>
  <si>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</si>
  <si>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</si>
  <si>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</si>
  <si>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</si>
  <si>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</si>
  <si>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</si>
  <si>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</si>
  <si>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</si>
  <si>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</si>
  <si>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</si>
  <si>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</si>
  <si>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</si>
  <si>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</si>
  <si>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</si>
  <si>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</si>
  <si>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</si>
  <si>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</si>
  <si>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</si>
  <si>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</si>
  <si>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</si>
  <si>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</si>
  <si>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</si>
  <si>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</si>
  <si>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</si>
  <si>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</si>
  <si>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</si>
  <si>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</si>
  <si>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</si>
  <si>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</si>
  <si>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</si>
  <si>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</si>
  <si>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</si>
  <si>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</si>
  <si>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</si>
  <si>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</si>
  <si>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</si>
  <si>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</si>
  <si>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</si>
  <si>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</si>
  <si>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</si>
  <si>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</si>
  <si>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</si>
  <si>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</si>
  <si>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</si>
  <si>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</si>
  <si>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</si>
  <si>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</si>
  <si>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</si>
  <si>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</si>
  <si>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</si>
  <si>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</si>
  <si>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</si>
  <si>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</si>
  <si>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</si>
  <si>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</si>
  <si>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</si>
  <si>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</si>
  <si>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</si>
  <si>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</si>
  <si>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</si>
  <si>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</si>
  <si>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</si>
  <si>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</si>
  <si>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</si>
  <si>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</si>
  <si>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</si>
  <si>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</si>
  <si>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</si>
  <si>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</si>
  <si>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</si>
  <si>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</si>
  <si>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</si>
  <si>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</si>
  <si>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</si>
  <si>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</si>
  <si>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</si>
  <si>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</si>
  <si>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</si>
  <si>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</si>
  <si>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</si>
  <si>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</si>
  <si>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</si>
  <si>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</si>
  <si>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</si>
  <si>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</si>
  <si>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</si>
  <si>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</si>
  <si>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</si>
  <si>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</si>
  <si>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</si>
  <si>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</si>
  <si>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</si>
  <si>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</si>
  <si>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</si>
  <si>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</si>
  <si>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</si>
  <si>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</si>
  <si>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</si>
  <si>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</si>
  <si>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</si>
  <si>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</si>
  <si>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</si>
  <si>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</si>
  <si>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</si>
  <si>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</si>
  <si>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</si>
  <si>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</si>
  <si>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</si>
  <si>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</si>
  <si>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</si>
  <si>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</si>
  <si>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</si>
  <si>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</si>
  <si>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</si>
  <si>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</si>
  <si>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</si>
  <si>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</si>
  <si>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</si>
  <si>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</si>
  <si>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</si>
  <si>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</si>
  <si>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</si>
  <si>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</si>
  <si>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</si>
  <si>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</si>
  <si>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</si>
  <si>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</si>
  <si>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</si>
  <si>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</si>
  <si>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</si>
  <si>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</si>
  <si>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</si>
  <si>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</si>
  <si>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</si>
  <si>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</si>
  <si>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</si>
  <si>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</si>
  <si>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</si>
  <si>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</si>
  <si>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</si>
  <si>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</si>
  <si>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</si>
  <si>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</si>
  <si>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</si>
  <si>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</si>
  <si>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</si>
  <si>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</si>
  <si>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</si>
  <si>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</si>
  <si>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</si>
  <si>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</si>
  <si>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</si>
  <si>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</si>
  <si>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</si>
  <si>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</si>
  <si>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</si>
  <si>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</si>
  <si>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</si>
  <si>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</si>
  <si>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</si>
  <si>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</si>
  <si>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</si>
  <si>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</si>
  <si>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</si>
  <si>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</si>
  <si>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</si>
  <si>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</si>
  <si>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</si>
  <si>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</si>
  <si>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</si>
  <si>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</si>
  <si>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</si>
  <si>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</si>
  <si>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</si>
  <si>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</si>
  <si>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</si>
  <si>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</si>
  <si>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</si>
  <si>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</si>
  <si>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</si>
  <si>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</si>
  <si>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</si>
  <si>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</si>
  <si>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</si>
  <si>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</si>
  <si>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</si>
  <si>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</si>
  <si>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</si>
  <si>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</si>
  <si>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</si>
  <si>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</si>
  <si>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</si>
  <si>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</si>
  <si>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</si>
  <si>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</si>
  <si>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</si>
  <si>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</si>
  <si>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</si>
  <si>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</si>
  <si>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</si>
  <si>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</si>
  <si>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</si>
  <si>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</si>
  <si>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</si>
  <si>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</si>
  <si>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</si>
  <si>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</si>
  <si>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</si>
  <si>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</si>
  <si>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</si>
  <si>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</si>
  <si>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</si>
  <si>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</si>
  <si>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</si>
  <si>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</si>
  <si>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</si>
  <si>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</si>
  <si>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</si>
  <si>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</si>
  <si>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</si>
  <si>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</si>
  <si>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</si>
  <si>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</si>
  <si>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</si>
  <si>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</si>
  <si>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</si>
  <si>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</si>
  <si>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</si>
  <si>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</si>
  <si>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</si>
  <si>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</si>
  <si>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</si>
  <si>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</si>
  <si>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</si>
  <si>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</si>
  <si>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</si>
  <si>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</si>
  <si>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</si>
  <si>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</si>
  <si>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</si>
  <si>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</si>
  <si>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</si>
  <si>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</si>
  <si>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</si>
  <si>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</si>
  <si>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</si>
  <si>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</si>
  <si>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</si>
  <si>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</si>
  <si>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</si>
  <si>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</si>
  <si>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</si>
  <si>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</si>
  <si>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</si>
  <si>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</si>
  <si>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</si>
  <si>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</si>
  <si>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</si>
  <si>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</si>
  <si>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</si>
  <si>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</si>
  <si>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</si>
  <si>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</si>
  <si>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</si>
  <si>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</si>
  <si>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</si>
  <si>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</si>
  <si>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</si>
  <si>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</si>
  <si>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</si>
  <si>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</si>
  <si>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</si>
  <si>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</si>
  <si>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</si>
  <si>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</si>
  <si>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</si>
  <si>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</si>
  <si>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</si>
  <si>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</si>
  <si>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</si>
  <si>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</si>
  <si>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</si>
  <si>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</si>
  <si>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</si>
  <si>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</si>
  <si>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</si>
  <si>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</si>
  <si>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</si>
  <si>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</si>
  <si>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</si>
  <si>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</si>
  <si>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</si>
  <si>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</si>
  <si>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</si>
  <si>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</si>
  <si>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</si>
  <si>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</si>
  <si>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</si>
  <si>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</si>
  <si>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</si>
  <si>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</si>
  <si>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</si>
  <si>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</si>
  <si>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</si>
  <si>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</si>
  <si>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</si>
  <si>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</si>
  <si>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</si>
  <si>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</si>
  <si>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</si>
  <si>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</si>
  <si>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</si>
  <si>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</si>
  <si>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</si>
  <si>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</si>
  <si>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</si>
  <si>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</si>
  <si>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</si>
  <si>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</si>
  <si>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</si>
  <si>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</si>
  <si>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</si>
  <si>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</si>
  <si>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</si>
  <si>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</si>
  <si>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</si>
  <si>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</si>
  <si>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</si>
  <si>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</si>
  <si>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</si>
  <si>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</si>
  <si>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</si>
  <si>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</si>
  <si>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</si>
  <si>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</si>
  <si>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</si>
  <si>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</si>
  <si>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</si>
  <si>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</si>
  <si>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</si>
  <si>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</si>
  <si>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</si>
  <si>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</si>
  <si>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</si>
  <si>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</si>
  <si>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</si>
  <si>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</si>
  <si>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</si>
  <si>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</si>
  <si>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</si>
  <si>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</si>
  <si>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</si>
  <si>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</si>
  <si>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</si>
  <si>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</si>
  <si>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</si>
  <si>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</si>
  <si>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</si>
  <si>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</si>
  <si>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</si>
  <si>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</si>
  <si>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</si>
  <si>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</si>
  <si>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</si>
  <si>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</si>
  <si>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</si>
  <si>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</si>
  <si>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</si>
  <si>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</si>
  <si>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</si>
  <si>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</si>
  <si>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</si>
  <si>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</si>
  <si>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</si>
  <si>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</si>
  <si>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</si>
  <si>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</si>
  <si>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</si>
  <si>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</si>
  <si>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</si>
  <si>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</si>
  <si>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</si>
  <si>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</si>
  <si>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</si>
  <si>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</si>
  <si>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</si>
  <si>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</si>
  <si>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</si>
  <si>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</si>
  <si>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</si>
  <si>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</si>
  <si>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</si>
  <si>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</si>
  <si>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</si>
  <si>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</si>
  <si>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</si>
  <si>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</si>
  <si>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</si>
  <si>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</si>
  <si>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</si>
  <si>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</si>
  <si>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</si>
  <si>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</si>
  <si>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</si>
  <si>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</si>
  <si>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</si>
  <si>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</si>
  <si>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</si>
  <si>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</si>
  <si>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</si>
  <si>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</si>
  <si>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</si>
  <si>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</si>
  <si>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</si>
  <si>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</si>
  <si>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</si>
  <si>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</si>
  <si>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</si>
  <si>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</si>
  <si>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</si>
  <si>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</si>
  <si>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</si>
  <si>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</si>
  <si>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</si>
  <si>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</si>
  <si>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</si>
  <si>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</si>
  <si>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</si>
  <si>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</si>
  <si>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</si>
  <si>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</si>
  <si>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</si>
  <si>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</si>
  <si>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</si>
  <si>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</si>
  <si>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</si>
  <si>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</si>
  <si>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</si>
  <si>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</si>
  <si>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</si>
  <si>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</si>
  <si>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</si>
  <si>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</si>
  <si>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</si>
  <si>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</si>
  <si>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</si>
  <si>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</si>
  <si>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</si>
  <si>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</si>
  <si>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</si>
  <si>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</si>
  <si>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</si>
  <si>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</si>
  <si>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</si>
  <si>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</si>
  <si>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</si>
  <si>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</si>
  <si>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</si>
  <si>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</si>
  <si>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</si>
  <si>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</si>
  <si>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</si>
  <si>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</si>
  <si>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</si>
  <si>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</si>
  <si>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</si>
  <si>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</si>
  <si>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</si>
  <si>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</si>
  <si>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</si>
  <si>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</si>
  <si>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</si>
  <si>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</si>
  <si>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</si>
  <si>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</si>
  <si>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</si>
  <si>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</si>
  <si>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</si>
  <si>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</si>
  <si>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</si>
  <si>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</si>
  <si>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</si>
  <si>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</si>
  <si>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</si>
  <si>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</si>
  <si>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</si>
  <si>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</si>
  <si>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</si>
  <si>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</si>
  <si>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</si>
  <si>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</si>
  <si>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</si>
  <si>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</si>
  <si>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</si>
  <si>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</si>
  <si>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</si>
  <si>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</si>
  <si>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</si>
  <si>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</si>
  <si>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</si>
  <si>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</si>
  <si>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</si>
  <si>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</si>
  <si>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</si>
  <si>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</si>
  <si>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</si>
  <si>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</si>
  <si>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</si>
  <si>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</si>
  <si>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</si>
  <si>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</si>
  <si>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</si>
  <si>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</si>
  <si>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</si>
  <si>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</si>
  <si>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</si>
  <si>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</si>
  <si>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</si>
  <si>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</si>
  <si>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</si>
  <si>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</si>
  <si>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</si>
  <si>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</si>
  <si>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</si>
  <si>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</si>
  <si>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</si>
  <si>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</si>
  <si>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</si>
  <si>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</si>
  <si>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</si>
  <si>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</si>
  <si>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</si>
  <si>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</si>
  <si>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</si>
  <si>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</si>
  <si>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</si>
  <si>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</si>
  <si>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</si>
  <si>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</si>
  <si>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</si>
  <si>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</si>
  <si>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</si>
  <si>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</si>
  <si>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</si>
  <si>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</si>
  <si>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</si>
  <si>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</si>
  <si>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</si>
  <si>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</si>
  <si>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</si>
  <si>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</si>
  <si>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</si>
  <si>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</si>
  <si>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</si>
  <si>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</si>
  <si>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</si>
  <si>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</si>
  <si>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</si>
  <si>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</si>
  <si>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</si>
  <si>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</si>
  <si>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</si>
  <si>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</si>
  <si>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</si>
  <si>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</si>
  <si>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</si>
  <si>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</si>
  <si>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</si>
  <si>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</si>
  <si>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</si>
  <si>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</si>
  <si>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</si>
  <si>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</si>
  <si>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</si>
  <si>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</si>
  <si>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</si>
  <si>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</si>
  <si>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</si>
  <si>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</si>
  <si>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</si>
  <si>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</si>
  <si>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</si>
  <si>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</si>
  <si>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</si>
  <si>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</si>
  <si>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</si>
  <si>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</si>
  <si>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</si>
  <si>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</si>
  <si>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</si>
  <si>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</si>
  <si>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</si>
  <si>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</si>
  <si>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</si>
  <si>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</si>
  <si>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</si>
  <si>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</si>
  <si>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</si>
  <si>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</si>
  <si>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</si>
  <si>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</si>
  <si>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</si>
  <si>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</si>
  <si>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</si>
  <si>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</si>
  <si>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</si>
  <si>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</si>
  <si>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</si>
  <si>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</si>
  <si>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</si>
  <si>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</si>
  <si>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</si>
  <si>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</si>
  <si>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</si>
  <si>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</si>
  <si>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</si>
  <si>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</si>
  <si>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</si>
  <si>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</si>
  <si>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</si>
  <si>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</si>
  <si>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</si>
  <si>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</si>
  <si>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</si>
  <si>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</si>
  <si>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</si>
  <si>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</si>
  <si>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</si>
  <si>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</si>
  <si>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</si>
  <si>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</si>
  <si>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</si>
  <si>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</si>
  <si>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</si>
  <si>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</si>
  <si>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</si>
  <si>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</si>
  <si>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</si>
  <si>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</si>
  <si>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</si>
  <si>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</si>
  <si>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</si>
  <si>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</si>
  <si>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</si>
  <si>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</si>
  <si>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</si>
  <si>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</si>
  <si>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</si>
  <si>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</si>
  <si>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</si>
  <si>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</si>
  <si>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</si>
  <si>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</si>
  <si>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</si>
  <si>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</si>
  <si>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</si>
  <si>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</si>
  <si>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</si>
  <si>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</si>
  <si>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</si>
  <si>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</si>
  <si>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</si>
  <si>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</si>
  <si>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</si>
  <si>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</si>
  <si>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</si>
  <si>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</si>
  <si>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</si>
  <si>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</si>
  <si>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</si>
  <si>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</si>
  <si>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</si>
  <si>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</si>
  <si>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</si>
  <si>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</si>
  <si>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</si>
  <si>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</si>
  <si>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</si>
  <si>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</si>
  <si>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</si>
  <si>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</si>
  <si>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</si>
  <si>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</si>
  <si>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</si>
  <si>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</si>
  <si>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</si>
  <si>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</si>
  <si>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</si>
  <si>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</si>
  <si>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</si>
  <si>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</si>
  <si>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</si>
  <si>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</si>
  <si>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</si>
  <si>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</si>
  <si>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</si>
  <si>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</si>
  <si>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</si>
  <si>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</si>
  <si>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</si>
  <si>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</si>
  <si>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</si>
  <si>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</si>
  <si>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</si>
  <si>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</si>
  <si>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</si>
  <si>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</si>
  <si>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</si>
  <si>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</si>
  <si>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</si>
  <si>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</si>
  <si>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</si>
  <si>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</si>
  <si>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</si>
  <si>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</si>
  <si>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</si>
  <si>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</si>
  <si>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</si>
  <si>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</si>
  <si>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</si>
  <si>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</si>
  <si>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</si>
  <si>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</si>
  <si>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</si>
  <si>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</si>
  <si>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</si>
  <si>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</si>
  <si>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</si>
  <si>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</si>
  <si>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</si>
  <si>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</si>
  <si>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</si>
  <si>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</si>
  <si>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</si>
  <si>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</si>
  <si>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</si>
  <si>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</si>
  <si>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</si>
  <si>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</si>
  <si>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</si>
  <si>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</si>
  <si>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</si>
  <si>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</si>
  <si>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</si>
  <si>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</si>
  <si>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</si>
  <si>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</si>
  <si>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</si>
  <si>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</si>
  <si>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</si>
  <si>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</si>
  <si>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</si>
  <si>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</si>
  <si>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</si>
  <si>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</si>
  <si>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</si>
  <si>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</si>
  <si>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</si>
  <si>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</si>
  <si>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</si>
  <si>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</si>
  <si>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</si>
  <si>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</si>
  <si>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</si>
  <si>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</si>
  <si>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</si>
  <si>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</si>
  <si>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</si>
  <si>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</si>
  <si>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</si>
  <si>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</si>
  <si>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</si>
  <si>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</si>
  <si>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</si>
  <si>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</si>
  <si>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</si>
  <si>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</si>
  <si>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</si>
  <si>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</si>
  <si>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</si>
  <si>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</si>
  <si>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</si>
  <si>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</si>
  <si>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</si>
  <si>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</si>
  <si>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</si>
  <si>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</si>
  <si>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</si>
  <si>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</si>
  <si>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</si>
  <si>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</si>
  <si>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</si>
  <si>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</si>
  <si>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</si>
  <si>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</si>
  <si>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</si>
  <si>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</si>
  <si>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</si>
  <si>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</si>
  <si>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</si>
  <si>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</si>
  <si>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</si>
  <si>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</si>
  <si>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</si>
  <si>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</si>
  <si>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</si>
  <si>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</si>
  <si>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</si>
  <si>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</si>
  <si>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</si>
  <si>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</si>
  <si>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</si>
  <si>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</si>
  <si>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</si>
  <si>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</si>
  <si>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</si>
  <si>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</si>
  <si>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</si>
  <si>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</si>
  <si>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</si>
  <si>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</si>
  <si>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</si>
  <si>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</si>
  <si>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</si>
  <si>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</si>
  <si>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</si>
  <si>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</si>
  <si>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</si>
  <si>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</si>
  <si>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</si>
  <si>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</si>
  <si>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</si>
  <si>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</si>
  <si>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</si>
  <si>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</si>
  <si>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</si>
  <si>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</si>
  <si>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</si>
  <si>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</si>
  <si>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</si>
  <si>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</si>
  <si>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</si>
  <si>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</si>
  <si>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</si>
  <si>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</si>
  <si>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</si>
  <si>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</si>
  <si>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</si>
  <si>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</si>
  <si>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</si>
  <si>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</si>
  <si>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</si>
  <si>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</si>
  <si>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</si>
  <si>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</si>
  <si>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</si>
  <si>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</si>
  <si>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</si>
  <si>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</si>
  <si>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</si>
  <si>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</si>
  <si>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</si>
  <si>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</si>
  <si>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</si>
  <si>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</si>
  <si>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</si>
  <si>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</si>
  <si>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</si>
  <si>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</si>
  <si>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</si>
  <si>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</si>
  <si>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</si>
  <si>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</si>
  <si>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</si>
  <si>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</si>
  <si>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</si>
  <si>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</si>
  <si>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</si>
  <si>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</si>
  <si>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</si>
  <si>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</si>
  <si>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</si>
  <si>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</si>
  <si>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</si>
  <si>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</si>
  <si>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</si>
  <si>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</si>
  <si>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</si>
  <si>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</si>
  <si>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</si>
  <si>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</si>
  <si>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</si>
  <si>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</si>
  <si>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</si>
  <si>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</si>
  <si>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</si>
  <si>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</si>
  <si>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</si>
  <si>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</si>
  <si>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</si>
  <si>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</si>
  <si>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</si>
  <si>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</si>
  <si>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</si>
  <si>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</si>
  <si>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</si>
  <si>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</si>
  <si>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</si>
  <si>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</si>
  <si>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</si>
  <si>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</si>
  <si>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</si>
  <si>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</si>
  <si>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</si>
  <si>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</si>
  <si>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</si>
  <si>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</si>
  <si>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</si>
  <si>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</si>
  <si>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</si>
  <si>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</si>
  <si>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</si>
  <si>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</si>
  <si>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</si>
  <si>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</si>
  <si>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</si>
  <si>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</si>
  <si>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</si>
  <si>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</si>
  <si>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</si>
  <si>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</si>
  <si>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</si>
  <si>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</si>
  <si>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</si>
  <si>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</si>
  <si>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</si>
  <si>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</si>
  <si>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</si>
  <si>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</si>
  <si>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</si>
  <si>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</si>
  <si>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</si>
  <si>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</si>
  <si>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</si>
  <si>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</si>
  <si>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</si>
  <si>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</si>
  <si>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</si>
  <si>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</si>
  <si>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</si>
  <si>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</si>
  <si>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</si>
  <si>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</si>
  <si>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</si>
  <si>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</si>
  <si>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</si>
  <si>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</si>
  <si>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</si>
  <si>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</si>
  <si>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</si>
  <si>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</si>
  <si>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</si>
  <si>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</si>
  <si>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</si>
  <si>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</si>
  <si>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</si>
  <si>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</si>
  <si>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</si>
  <si>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</si>
  <si>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</si>
  <si>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</si>
  <si>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</si>
  <si>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</si>
  <si>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</si>
  <si>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</si>
  <si>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</si>
  <si>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</si>
  <si>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</si>
  <si>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</si>
  <si>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</si>
  <si>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</si>
  <si>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</si>
  <si>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</si>
  <si>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</si>
  <si>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</si>
  <si>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</si>
  <si>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</si>
  <si>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</si>
  <si>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</si>
  <si>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</si>
  <si>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</si>
  <si>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</si>
  <si>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</si>
  <si>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</si>
  <si>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</si>
  <si>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</si>
  <si>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</si>
  <si>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</si>
  <si>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</si>
  <si>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</si>
  <si>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</si>
  <si>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</si>
  <si>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</si>
  <si>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</si>
  <si>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</si>
  <si>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</si>
  <si>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</si>
  <si>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</si>
  <si>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</si>
  <si>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</si>
  <si>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</si>
  <si>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</si>
  <si>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</si>
  <si>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</si>
  <si>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</si>
  <si>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</si>
  <si>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</si>
  <si>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</si>
  <si>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</si>
  <si>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</si>
  <si>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</si>
  <si>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</si>
  <si>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</si>
  <si>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</si>
  <si>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</si>
  <si>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</si>
  <si>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</si>
  <si>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</si>
  <si>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</si>
  <si>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</si>
  <si>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</si>
  <si>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</si>
  <si>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</si>
  <si>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</si>
  <si>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</si>
  <si>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</si>
  <si>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</si>
  <si>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</si>
  <si>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</si>
  <si>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</si>
  <si>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</si>
  <si>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</si>
  <si>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</si>
  <si>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</si>
  <si>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</si>
  <si>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</si>
  <si>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</si>
  <si>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</si>
  <si>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</si>
  <si>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</si>
  <si>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</si>
  <si>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</si>
  <si>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</si>
  <si>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</si>
  <si>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</si>
  <si>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</si>
  <si>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</si>
  <si>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</si>
  <si>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</si>
  <si>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</si>
  <si>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</si>
  <si>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</si>
  <si>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</si>
  <si>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</si>
  <si>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</si>
  <si>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</si>
  <si>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</si>
  <si>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</si>
  <si>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</si>
  <si>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</si>
  <si>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</si>
  <si>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</si>
  <si>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</si>
  <si>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</si>
  <si>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</si>
  <si>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</si>
  <si>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</si>
  <si>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</si>
  <si>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</si>
  <si>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</si>
  <si>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</si>
  <si>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</si>
  <si>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</si>
  <si>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</si>
  <si>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</si>
  <si>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</si>
  <si>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</si>
  <si>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</si>
  <si>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</si>
  <si>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</si>
  <si>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</si>
  <si>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</si>
  <si>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</si>
  <si>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</si>
  <si>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</si>
  <si>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</si>
  <si>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</si>
  <si>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</si>
  <si>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</si>
  <si>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</si>
  <si>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</si>
  <si>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</si>
  <si>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</si>
  <si>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</si>
  <si>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</si>
  <si>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</si>
  <si>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</si>
  <si>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</si>
  <si>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</si>
  <si>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</si>
  <si>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</si>
  <si>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</si>
  <si>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</si>
  <si>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</si>
  <si>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</si>
  <si>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</si>
  <si>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</si>
  <si>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</si>
  <si>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</si>
  <si>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</si>
  <si>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</si>
  <si>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</si>
  <si>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</si>
  <si>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</si>
  <si>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</si>
  <si>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</si>
  <si>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</si>
  <si>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</si>
  <si>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</si>
  <si>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</si>
  <si>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</si>
  <si>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</si>
  <si>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</si>
  <si>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</si>
  <si>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</si>
  <si>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</si>
  <si>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</si>
  <si>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</si>
  <si>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</si>
  <si>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</si>
  <si>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</si>
  <si>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</si>
  <si>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</si>
  <si>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</si>
  <si>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</si>
  <si>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</si>
  <si>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</si>
  <si>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</si>
  <si>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</si>
  <si>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</si>
  <si>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</si>
  <si>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</si>
  <si>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</si>
  <si>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</si>
  <si>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</si>
  <si>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</si>
  <si>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</si>
  <si>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</si>
  <si>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</si>
  <si>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</si>
  <si>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</si>
  <si>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</si>
  <si>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</si>
  <si>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</si>
  <si>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</si>
  <si>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</si>
  <si>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</si>
  <si>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</si>
  <si>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</si>
  <si>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</si>
  <si>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</si>
  <si>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</si>
  <si>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</si>
  <si>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</si>
  <si>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</si>
  <si>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</si>
  <si>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</si>
  <si>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</si>
  <si>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</si>
  <si>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</si>
  <si>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</si>
  <si>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</si>
  <si>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</si>
  <si>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</si>
  <si>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</si>
  <si>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</si>
  <si>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</si>
  <si>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</si>
  <si>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</si>
  <si>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</si>
  <si>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</si>
  <si>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</si>
  <si>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</si>
  <si>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</si>
  <si>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</si>
  <si>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</si>
  <si>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</si>
  <si>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</si>
  <si>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</si>
  <si>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</si>
  <si>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</si>
  <si>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</si>
  <si>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</si>
  <si>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</si>
  <si>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</si>
  <si>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</si>
  <si>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</si>
  <si>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</si>
  <si>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</si>
  <si>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</si>
  <si>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</si>
  <si>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</si>
  <si>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</si>
  <si>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</si>
  <si>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</si>
  <si>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</si>
  <si>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</si>
  <si>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</si>
  <si>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</si>
  <si>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</si>
  <si>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</si>
  <si>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</si>
  <si>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</si>
  <si>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</si>
  <si>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</si>
  <si>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</si>
  <si>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</si>
  <si>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</si>
  <si>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</si>
  <si>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</si>
  <si>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</si>
  <si>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</si>
  <si>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</si>
  <si>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</si>
  <si>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</si>
  <si>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</si>
  <si>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</si>
  <si>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</si>
  <si>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</si>
  <si>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</si>
  <si>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</si>
  <si>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</si>
  <si>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</si>
  <si>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</si>
  <si>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</si>
  <si>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</si>
  <si>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</si>
  <si>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</si>
  <si>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</si>
  <si>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</si>
  <si>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</si>
  <si>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</si>
  <si>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</si>
  <si>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</si>
  <si>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</si>
  <si>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</si>
  <si>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</si>
  <si>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</si>
  <si>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</si>
  <si>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</si>
  <si>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</si>
  <si>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</si>
  <si>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</si>
  <si>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</si>
  <si>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</si>
  <si>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</si>
  <si>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</si>
  <si>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</si>
  <si>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</si>
  <si>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</si>
  <si>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</si>
  <si>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</si>
  <si>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</si>
  <si>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</si>
  <si>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</si>
  <si>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</si>
  <si>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</si>
  <si>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</si>
  <si>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</si>
  <si>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</si>
  <si>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</si>
  <si>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</si>
  <si>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</si>
  <si>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</si>
  <si>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</si>
  <si>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</si>
  <si>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</si>
  <si>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</si>
  <si>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</si>
  <si>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</si>
  <si>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</si>
  <si>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</si>
  <si>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</si>
  <si>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</si>
  <si>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</si>
  <si>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</si>
  <si>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</si>
  <si>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</si>
  <si>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</si>
  <si>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</si>
  <si>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</si>
  <si>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</si>
  <si>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</si>
  <si>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</si>
  <si>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</si>
  <si>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</si>
  <si>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</si>
  <si>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</si>
  <si>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</si>
  <si>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</si>
  <si>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</si>
  <si>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</si>
  <si>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</si>
  <si>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</si>
  <si>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</si>
  <si>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</si>
  <si>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</si>
  <si>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</si>
  <si>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</si>
  <si>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</si>
  <si>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</si>
  <si>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</si>
  <si>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</si>
  <si>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</si>
  <si>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</si>
  <si>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</si>
  <si>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</si>
  <si>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</si>
  <si>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</si>
  <si>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</si>
  <si>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</si>
  <si>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</si>
  <si>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</si>
  <si>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</si>
  <si>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</si>
  <si>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</si>
  <si>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</si>
  <si>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</si>
  <si>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</si>
  <si>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</si>
  <si>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</si>
  <si>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</si>
  <si>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</si>
  <si>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</si>
  <si>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</si>
  <si>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</si>
  <si>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</si>
  <si>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</si>
  <si>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</si>
  <si>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</si>
  <si>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</si>
  <si>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</si>
  <si>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</si>
  <si>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</si>
  <si>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</si>
  <si>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</si>
  <si>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</si>
  <si>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</si>
  <si>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</si>
  <si>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</si>
  <si>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</si>
  <si>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</si>
  <si>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</si>
  <si>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</si>
  <si>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</si>
  <si>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</si>
  <si>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</si>
  <si>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</si>
  <si>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</si>
  <si>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</si>
  <si>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</si>
  <si>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</si>
  <si>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</si>
  <si>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</si>
  <si>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</si>
  <si>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</si>
  <si>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</si>
  <si>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</si>
  <si>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</si>
  <si>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</si>
  <si>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</si>
  <si>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</si>
  <si>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</si>
  <si>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</si>
  <si>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</si>
  <si>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</si>
  <si>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</si>
  <si>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</si>
  <si>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</si>
  <si>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</si>
  <si>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</si>
  <si>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</si>
  <si>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</si>
  <si>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</si>
  <si>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</si>
  <si>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</si>
  <si>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</si>
  <si>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</si>
  <si>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</si>
  <si>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</si>
  <si>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</si>
  <si>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</si>
  <si>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</si>
  <si>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</si>
  <si>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</si>
  <si>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</si>
  <si>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</si>
  <si>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</si>
  <si>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</si>
  <si>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</si>
  <si>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</si>
  <si>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</si>
  <si>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</si>
  <si>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</si>
  <si>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</si>
  <si>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</si>
  <si>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</si>
  <si>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</si>
  <si>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</si>
  <si>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</si>
  <si>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</si>
  <si>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</si>
  <si>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</si>
  <si>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</si>
  <si>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</si>
  <si>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</si>
  <si>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</si>
  <si>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</si>
  <si>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</si>
  <si>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</si>
  <si>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</si>
  <si>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</si>
  <si>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</si>
  <si>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</si>
  <si>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</si>
  <si>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</si>
  <si>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</si>
  <si>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</si>
  <si>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</si>
  <si>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</si>
  <si>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</si>
  <si>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</si>
  <si>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</si>
  <si>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</si>
  <si>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</si>
  <si>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</si>
  <si>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</si>
  <si>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</si>
  <si>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</si>
  <si>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</si>
  <si>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</si>
  <si>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</si>
  <si>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</si>
  <si>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</si>
  <si>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</si>
  <si>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</si>
  <si>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</si>
  <si>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</si>
  <si>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</si>
  <si>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</si>
  <si>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</si>
  <si>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</si>
  <si>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</si>
  <si>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</si>
  <si>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</si>
  <si>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</si>
  <si>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</si>
  <si>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</si>
  <si>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</si>
  <si>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</si>
  <si>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</si>
  <si>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</si>
  <si>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</si>
  <si>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</si>
  <si>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</si>
  <si>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</si>
  <si>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</si>
  <si>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</si>
  <si>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</si>
  <si>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</si>
  <si>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</si>
  <si>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</si>
  <si>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</si>
  <si>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</si>
  <si>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</si>
  <si>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</si>
  <si>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</si>
  <si>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</si>
  <si>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</si>
  <si>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</si>
  <si>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</si>
  <si>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</si>
  <si>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</si>
  <si>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</si>
  <si>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</si>
  <si>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</si>
  <si>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</si>
  <si>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</si>
  <si>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</si>
  <si>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</si>
  <si>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</si>
  <si>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</si>
  <si>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</si>
  <si>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</si>
  <si>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</si>
  <si>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</si>
  <si>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</si>
  <si>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</si>
  <si>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</si>
  <si>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</si>
  <si>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</si>
  <si>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</si>
  <si>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</si>
  <si>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</si>
  <si>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</si>
  <si>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</si>
  <si>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</si>
  <si>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</si>
  <si>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</si>
  <si>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</si>
  <si>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</si>
  <si>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</si>
  <si>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</si>
  <si>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</si>
  <si>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</si>
  <si>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</si>
  <si>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</si>
  <si>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</si>
  <si>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</si>
  <si>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</si>
  <si>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</si>
  <si>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</si>
  <si>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</si>
  <si>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</si>
  <si>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</si>
  <si>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</si>
  <si>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</si>
  <si>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</si>
  <si>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</si>
  <si>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</si>
  <si>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</si>
  <si>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</si>
  <si>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</si>
  <si>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</si>
  <si>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</si>
  <si>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</si>
  <si>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</si>
  <si>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</si>
  <si>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</si>
  <si>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</si>
  <si>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</si>
  <si>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</si>
  <si>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</si>
  <si>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</si>
  <si>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</si>
  <si>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</si>
  <si>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</si>
  <si>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</si>
  <si>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</si>
  <si>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</si>
  <si>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</si>
  <si>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</si>
  <si>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</si>
  <si>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</si>
  <si>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</si>
  <si>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</si>
  <si>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</si>
  <si>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</si>
  <si>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</si>
  <si>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</si>
  <si>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</si>
  <si>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</si>
  <si>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</si>
  <si>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</si>
  <si>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</si>
  <si>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</si>
  <si>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</si>
  <si>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</si>
  <si>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</si>
  <si>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</si>
  <si>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</si>
  <si>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</si>
  <si>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</si>
  <si>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</si>
  <si>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</si>
  <si>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</si>
  <si>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</si>
  <si>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</si>
  <si>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</si>
  <si>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</si>
  <si>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</si>
  <si>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</si>
  <si>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</si>
  <si>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</si>
  <si>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</si>
  <si>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</si>
  <si>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</si>
  <si>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</si>
  <si>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</si>
  <si>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</si>
  <si>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</si>
  <si>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</si>
  <si>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</si>
  <si>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</si>
  <si>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</si>
  <si>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</si>
  <si>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</si>
  <si>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</si>
  <si>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</si>
  <si>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</si>
  <si>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</si>
  <si>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</si>
  <si>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</si>
  <si>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</si>
  <si>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</si>
  <si>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</si>
  <si>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</si>
  <si>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</si>
  <si>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</si>
  <si>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</si>
  <si>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</si>
  <si>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</si>
  <si>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</si>
  <si>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</si>
  <si>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</si>
  <si>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</si>
  <si>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</si>
  <si>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</si>
  <si>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</si>
  <si>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</si>
  <si>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</si>
  <si>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</si>
  <si>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</si>
  <si>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</si>
  <si>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</si>
  <si>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</si>
  <si>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</si>
  <si>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</si>
  <si>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</si>
  <si>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</si>
  <si>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</si>
  <si>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</si>
  <si>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</si>
  <si>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</si>
  <si>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</si>
  <si>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</si>
  <si>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</si>
  <si>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</si>
  <si>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</si>
  <si>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</si>
  <si>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</si>
  <si>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</si>
  <si>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</si>
  <si>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</si>
  <si>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</si>
  <si>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</si>
  <si>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</si>
  <si>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</si>
  <si>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</si>
  <si>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</si>
  <si>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</si>
  <si>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</si>
  <si>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</si>
  <si>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</si>
  <si>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</si>
  <si>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</si>
  <si>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</si>
  <si>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</si>
  <si>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</si>
  <si>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</si>
  <si>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</si>
  <si>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</si>
  <si>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</si>
  <si>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</si>
  <si>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</si>
  <si>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</si>
  <si>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</si>
  <si>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</si>
  <si>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</si>
  <si>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</si>
  <si>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</si>
  <si>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</si>
  <si>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</si>
  <si>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</si>
  <si>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</si>
  <si>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</si>
  <si>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</si>
  <si>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</si>
  <si>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</si>
  <si>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</si>
  <si>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</si>
  <si>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</si>
  <si>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</si>
  <si>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</si>
  <si>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</si>
  <si>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</si>
  <si>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</si>
  <si>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</si>
  <si>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</si>
  <si>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</si>
  <si>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</si>
  <si>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</si>
  <si>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</si>
  <si>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</si>
  <si>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</si>
  <si>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</si>
  <si>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</si>
  <si>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</si>
  <si>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</si>
  <si>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</si>
  <si>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</si>
  <si>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</si>
  <si>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</si>
  <si>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</si>
  <si>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</si>
  <si>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</si>
  <si>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</si>
  <si>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</si>
  <si>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</si>
  <si>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</si>
  <si>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</si>
  <si>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</si>
  <si>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</si>
  <si>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</si>
  <si>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</si>
  <si>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</si>
  <si>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</si>
  <si>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</si>
  <si>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</si>
  <si>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</si>
  <si>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</si>
  <si>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</si>
  <si>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</si>
  <si>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</si>
  <si>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</si>
  <si>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</si>
  <si>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</si>
  <si>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</si>
  <si>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</si>
  <si>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</si>
  <si>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</si>
  <si>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</si>
  <si>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</si>
  <si>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</si>
  <si>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</si>
  <si>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</si>
  <si>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</si>
  <si>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</si>
  <si>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</si>
  <si>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</si>
  <si>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</si>
  <si>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</si>
  <si>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</si>
  <si>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</si>
  <si>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</si>
  <si>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</si>
  <si>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</si>
  <si>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</si>
  <si>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</si>
  <si>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</si>
  <si>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</si>
  <si>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</si>
  <si>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</si>
  <si>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</si>
  <si>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</si>
  <si>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</si>
  <si>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</si>
  <si>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</si>
  <si>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</si>
  <si>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</si>
  <si>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</si>
  <si>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</si>
  <si>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</si>
  <si>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</si>
  <si>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</si>
  <si>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</si>
  <si>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</si>
  <si>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</si>
  <si>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</si>
  <si>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</si>
  <si>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</si>
  <si>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</si>
  <si>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</si>
  <si>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</si>
  <si>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</si>
  <si>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</si>
  <si>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</si>
  <si>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</si>
  <si>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</si>
  <si>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</si>
  <si>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</si>
  <si>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</si>
  <si>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</si>
  <si>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</si>
  <si>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</si>
  <si>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</si>
  <si>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</si>
  <si>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</si>
  <si>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</si>
  <si>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</si>
  <si>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</si>
  <si>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</si>
  <si>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</si>
  <si>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</si>
  <si>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</si>
  <si>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</si>
  <si>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</si>
  <si>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</si>
  <si>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</si>
  <si>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</si>
  <si>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</si>
  <si>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</si>
  <si>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</si>
  <si>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</si>
  <si>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</si>
  <si>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</si>
  <si>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</si>
  <si>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</si>
  <si>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</si>
  <si>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</si>
  <si>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</si>
  <si>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</si>
  <si>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</si>
  <si>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</si>
  <si>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</si>
  <si>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</si>
  <si>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</si>
  <si>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</si>
  <si>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</si>
  <si>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</si>
  <si>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</si>
  <si>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</si>
  <si>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</si>
  <si>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</si>
  <si>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</si>
  <si>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</si>
  <si>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</si>
  <si>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</si>
  <si>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</si>
  <si>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</si>
  <si>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</si>
  <si>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</si>
  <si>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</si>
  <si>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</si>
  <si>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</si>
  <si>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</si>
  <si>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</si>
  <si>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</si>
  <si>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</si>
  <si>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</si>
  <si>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</si>
  <si>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</si>
  <si>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</si>
  <si>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</si>
  <si>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</si>
  <si>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</si>
  <si>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</si>
  <si>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</si>
  <si>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</si>
  <si>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</si>
  <si>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</si>
  <si>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</si>
  <si>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</si>
  <si>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</si>
  <si>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</si>
  <si>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</si>
  <si>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</si>
  <si>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</si>
  <si>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</si>
  <si>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</si>
  <si>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</si>
  <si>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</si>
  <si>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</si>
  <si>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</si>
  <si>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</si>
  <si>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</si>
  <si>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</si>
  <si>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</si>
  <si>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</si>
  <si>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</si>
  <si>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</si>
  <si>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</si>
  <si>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</si>
  <si>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</si>
  <si>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</si>
  <si>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</si>
  <si>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</si>
  <si>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</si>
  <si>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</si>
  <si>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</si>
  <si>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</si>
  <si>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</si>
  <si>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</si>
  <si>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</si>
  <si>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</si>
  <si>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</si>
  <si>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</si>
  <si>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</si>
  <si>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</si>
  <si>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</si>
  <si>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</si>
  <si>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</si>
  <si>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</si>
  <si>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</si>
  <si>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</si>
  <si>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</si>
  <si>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</si>
  <si>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</si>
  <si>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</si>
  <si>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</si>
  <si>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</si>
  <si>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</si>
  <si>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</si>
  <si>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</si>
  <si>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</si>
  <si>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</si>
  <si>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</si>
  <si>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</si>
  <si>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</si>
  <si>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</si>
  <si>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</si>
  <si>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</si>
  <si>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</si>
  <si>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</si>
  <si>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</si>
  <si>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</si>
  <si>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</si>
  <si>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</si>
  <si>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</si>
  <si>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</si>
  <si>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</si>
  <si>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</si>
  <si>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</si>
  <si>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</si>
  <si>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</si>
  <si>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</si>
  <si>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</si>
  <si>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</si>
  <si>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</si>
  <si>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</si>
  <si>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</si>
  <si>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</si>
  <si>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</si>
  <si>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</si>
  <si>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</si>
  <si>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</si>
  <si>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</si>
  <si>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</si>
  <si>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</si>
  <si>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</si>
  <si>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</si>
  <si>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</si>
  <si>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</si>
  <si>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</si>
  <si>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</si>
  <si>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</si>
  <si>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</si>
  <si>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</si>
  <si>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</si>
  <si>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</si>
  <si>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</si>
  <si>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</si>
  <si>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</si>
  <si>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</si>
  <si>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</si>
  <si>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</si>
  <si>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</si>
  <si>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</si>
  <si>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</si>
  <si>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</si>
  <si>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</si>
  <si>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</si>
  <si>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</si>
  <si>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</si>
  <si>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</si>
  <si>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</si>
  <si>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</si>
  <si>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</si>
  <si>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</si>
  <si>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</si>
  <si>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</si>
  <si>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</si>
  <si>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</si>
  <si>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</si>
  <si>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</si>
  <si>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</si>
  <si>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</si>
  <si>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</si>
  <si>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</si>
  <si>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</si>
  <si>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</si>
  <si>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</si>
  <si>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</si>
  <si>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</si>
  <si>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</si>
  <si>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</si>
  <si>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</si>
  <si>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</si>
  <si>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</si>
  <si>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</si>
  <si>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</si>
  <si>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</si>
  <si>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</si>
  <si>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</si>
  <si>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</si>
  <si>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</si>
  <si>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</si>
  <si>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</si>
  <si>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</si>
  <si>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</si>
  <si>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</si>
  <si>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</si>
  <si>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</si>
  <si>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</si>
  <si>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</si>
  <si>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</si>
  <si>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</si>
  <si>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</si>
  <si>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</si>
  <si>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</si>
  <si>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</si>
  <si>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</si>
  <si>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</si>
  <si>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</si>
  <si>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</si>
  <si>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</si>
  <si>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</si>
  <si>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</si>
  <si>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</si>
  <si>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</si>
  <si>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</si>
  <si>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</si>
  <si>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</si>
  <si>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</si>
  <si>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</si>
  <si>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</si>
  <si>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</si>
  <si>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</si>
  <si>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</si>
  <si>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</si>
  <si>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</si>
  <si>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</si>
  <si>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</si>
  <si>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</si>
  <si>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</si>
  <si>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</si>
  <si>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</si>
  <si>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</si>
  <si>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</si>
  <si>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</si>
  <si>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</si>
  <si>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</si>
  <si>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</si>
  <si>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</si>
  <si>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</si>
  <si>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</si>
  <si>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</si>
  <si>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</si>
  <si>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</si>
  <si>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</si>
  <si>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</si>
  <si>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</si>
  <si>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</si>
  <si>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</si>
  <si>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</si>
  <si>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</si>
  <si>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</si>
  <si>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</si>
  <si>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</si>
  <si>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</si>
  <si>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</si>
  <si>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</si>
  <si>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</si>
  <si>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</si>
  <si>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</si>
  <si>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</si>
  <si>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</si>
  <si>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</si>
  <si>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</si>
  <si>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</si>
  <si>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</si>
  <si>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</si>
  <si>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</si>
  <si>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</si>
  <si>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</si>
  <si>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</si>
  <si>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</si>
  <si>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</si>
  <si>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</si>
  <si>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</si>
  <si>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</si>
  <si>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</si>
  <si>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</si>
  <si>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</si>
  <si>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</si>
  <si>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</si>
  <si>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</si>
  <si>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</si>
  <si>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</si>
  <si>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</si>
  <si>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</si>
  <si>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</si>
  <si>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</si>
  <si>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</si>
  <si>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</si>
  <si>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</si>
  <si>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</si>
  <si>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</si>
  <si>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</si>
  <si>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</si>
  <si>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</si>
  <si>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</si>
  <si>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</si>
  <si>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</si>
  <si>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</si>
  <si>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</si>
  <si>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</si>
  <si>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</si>
  <si>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</si>
  <si>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</si>
  <si>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</si>
  <si>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</si>
  <si>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</si>
  <si>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</si>
  <si>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</si>
  <si>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</si>
  <si>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</si>
  <si>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</si>
  <si>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</si>
  <si>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</si>
  <si>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</si>
  <si>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</si>
  <si>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</si>
  <si>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</si>
  <si>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</si>
  <si>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</si>
  <si>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</si>
  <si>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</si>
  <si>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</si>
  <si>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</si>
  <si>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</si>
  <si>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</si>
  <si>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</si>
  <si>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</si>
  <si>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</si>
  <si>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</si>
  <si>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</si>
  <si>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</si>
  <si>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</si>
  <si>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</si>
  <si>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</si>
  <si>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</si>
  <si>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</si>
  <si>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</si>
  <si>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</si>
  <si>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</si>
  <si>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</si>
  <si>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</si>
  <si>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</si>
  <si>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</si>
  <si>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</si>
  <si>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</si>
  <si>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</si>
  <si>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</si>
  <si>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</si>
  <si>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</si>
  <si>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</si>
  <si>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</si>
  <si>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</si>
  <si>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</si>
  <si>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</si>
  <si>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</si>
  <si>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</si>
  <si>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</si>
  <si>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</si>
  <si>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</si>
  <si>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</si>
  <si>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</si>
  <si>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</si>
  <si>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</si>
  <si>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</si>
  <si>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</si>
  <si>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</si>
  <si>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</si>
  <si>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</si>
  <si>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</si>
  <si>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</si>
  <si>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</si>
  <si>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</si>
  <si>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</si>
  <si>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</si>
  <si>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</si>
  <si>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</si>
  <si>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</si>
  <si>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</si>
  <si>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</si>
  <si>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</si>
  <si>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</si>
  <si>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</si>
  <si>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</si>
  <si>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</si>
  <si>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</si>
  <si>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</si>
  <si>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</si>
  <si>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</si>
  <si>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</si>
  <si>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</si>
  <si>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</si>
  <si>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</si>
  <si>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</si>
  <si>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</si>
  <si>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</si>
  <si>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</si>
  <si>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</si>
  <si>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</si>
  <si>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</si>
  <si>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</si>
  <si>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</si>
  <si>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</si>
  <si>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</si>
  <si>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</si>
  <si>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</si>
  <si>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</si>
  <si>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</si>
  <si>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</si>
  <si>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</si>
  <si>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</si>
  <si>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</si>
  <si>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</si>
  <si>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</si>
  <si>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</si>
  <si>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</si>
  <si>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</si>
  <si>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</si>
  <si>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</si>
  <si>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</si>
  <si>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</si>
  <si>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</si>
  <si>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</si>
  <si>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</si>
  <si>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</si>
  <si>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</si>
  <si>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</si>
  <si>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</si>
  <si>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</si>
  <si>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</si>
  <si>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</si>
  <si>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</si>
  <si>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</si>
  <si>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</si>
  <si>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</si>
  <si>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</si>
  <si>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</si>
  <si>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</si>
  <si>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</si>
  <si>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</si>
  <si>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</si>
  <si>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</si>
  <si>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</si>
  <si>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</si>
  <si>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</si>
  <si>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</si>
  <si>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</si>
  <si>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</si>
  <si>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</si>
  <si>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</si>
  <si>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</si>
  <si>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</si>
  <si>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</si>
  <si>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</si>
  <si>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</si>
  <si>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</si>
  <si>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</si>
  <si>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</si>
  <si>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</si>
  <si>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</si>
  <si>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</si>
  <si>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</si>
  <si>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</si>
  <si>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</si>
  <si>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</si>
  <si>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</si>
  <si>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</si>
  <si>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</si>
  <si>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</si>
  <si>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</si>
  <si>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</si>
  <si>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</si>
  <si>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</si>
  <si>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</si>
  <si>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</si>
  <si>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</si>
  <si>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</si>
  <si>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</si>
  <si>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</si>
  <si>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</si>
  <si>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</si>
  <si>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</si>
  <si>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</si>
  <si>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</si>
  <si>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</si>
  <si>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</si>
  <si>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</si>
  <si>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</si>
  <si>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</si>
  <si>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</si>
  <si>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</si>
  <si>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</si>
  <si>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</si>
  <si>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</si>
  <si>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</si>
  <si>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</si>
  <si>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</si>
  <si>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</si>
  <si>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</si>
  <si>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</si>
  <si>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</si>
  <si>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</si>
  <si>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</si>
  <si>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</si>
  <si>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</si>
  <si>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</si>
  <si>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</si>
  <si>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</si>
  <si>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</si>
  <si>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</si>
  <si>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</si>
  <si>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</si>
  <si>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</si>
  <si>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</si>
  <si>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</si>
  <si>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</si>
  <si>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</si>
  <si>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</si>
  <si>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</si>
  <si>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</si>
  <si>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</si>
  <si>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</si>
  <si>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</si>
  <si>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</si>
  <si>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</si>
  <si>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</si>
  <si>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</si>
  <si>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</si>
  <si>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</si>
  <si>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</si>
  <si>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</si>
  <si>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</si>
  <si>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</si>
  <si>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</si>
  <si>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</si>
  <si>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</si>
  <si>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</si>
  <si>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</si>
  <si>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</si>
  <si>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</si>
  <si>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</si>
  <si>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</si>
  <si>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</si>
  <si>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</si>
  <si>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</si>
  <si>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</si>
  <si>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</si>
  <si>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</si>
  <si>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</si>
  <si>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</si>
  <si>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</si>
  <si>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</si>
  <si>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</si>
  <si>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</si>
  <si>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</si>
  <si>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</si>
  <si>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</si>
  <si>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</si>
  <si>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</si>
  <si>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</si>
  <si>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</si>
  <si>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</si>
  <si>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</si>
  <si>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</si>
  <si>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</si>
  <si>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</si>
  <si>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</si>
  <si>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</si>
  <si>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</si>
  <si>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</si>
  <si>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</si>
  <si>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</si>
  <si>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</si>
  <si>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</si>
  <si>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</si>
  <si>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</si>
  <si>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</si>
  <si>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</si>
  <si>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</si>
  <si>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</si>
  <si>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</si>
  <si>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</si>
  <si>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</si>
  <si>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</si>
  <si>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</si>
  <si>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</si>
  <si>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</si>
  <si>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</si>
  <si>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</si>
  <si>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</si>
  <si>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</si>
  <si>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</si>
  <si>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</si>
  <si>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</si>
  <si>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</si>
  <si>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</si>
  <si>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</si>
  <si>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</si>
  <si>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</si>
  <si>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</si>
  <si>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</si>
  <si>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</si>
  <si>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</si>
  <si>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</si>
  <si>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</si>
  <si>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</si>
  <si>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</si>
  <si>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</si>
  <si>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</si>
  <si>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</si>
  <si>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</si>
  <si>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</si>
  <si>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</si>
  <si>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</si>
  <si>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</si>
  <si>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</si>
  <si>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</si>
  <si>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</si>
  <si>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</si>
  <si>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</si>
  <si>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</si>
  <si>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</si>
  <si>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</si>
  <si>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</si>
  <si>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</si>
  <si>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</si>
  <si>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</si>
  <si>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</si>
  <si>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</si>
  <si>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</si>
  <si>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</si>
  <si>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</si>
  <si>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</si>
  <si>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</si>
  <si>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</si>
  <si>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</si>
  <si>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</si>
  <si>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</si>
  <si>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</si>
  <si>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</si>
  <si>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</si>
  <si>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</si>
  <si>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</si>
  <si>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</si>
  <si>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</si>
  <si>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</si>
  <si>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</si>
  <si>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</si>
  <si>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</si>
  <si>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</si>
  <si>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</si>
  <si>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</si>
  <si>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</si>
  <si>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</si>
  <si>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</si>
  <si>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</si>
  <si>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</si>
  <si>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</si>
  <si>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</si>
  <si>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</si>
  <si>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</si>
  <si>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</si>
  <si>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</si>
  <si>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</si>
  <si>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</si>
  <si>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</si>
  <si>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</si>
  <si>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</si>
  <si>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</si>
  <si>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</si>
  <si>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</si>
  <si>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</si>
  <si>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</si>
  <si>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</si>
  <si>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</si>
  <si>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</si>
  <si>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</si>
  <si>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</si>
  <si>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</si>
  <si>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</si>
  <si>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</si>
  <si>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</si>
  <si>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</si>
  <si>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</si>
  <si>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</si>
  <si>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</si>
  <si>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</si>
  <si>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</si>
  <si>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</si>
  <si>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</si>
  <si>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</si>
  <si>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</si>
  <si>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</si>
  <si>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</si>
  <si>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</si>
  <si>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</si>
  <si>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</si>
  <si>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</si>
  <si>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</si>
  <si>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</si>
  <si>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</si>
  <si>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</si>
  <si>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</si>
  <si>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</si>
  <si>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</si>
  <si>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</si>
  <si>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</si>
  <si>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</si>
  <si>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</si>
  <si>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</si>
  <si>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</si>
  <si>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</si>
  <si>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</si>
  <si>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</si>
  <si>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</si>
  <si>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</si>
  <si>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</si>
  <si>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</si>
  <si>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</si>
  <si>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</si>
  <si>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</si>
  <si>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</si>
  <si>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</si>
  <si>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</si>
  <si>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</si>
  <si>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</si>
  <si>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</si>
  <si>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</si>
  <si>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</si>
  <si>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</si>
  <si>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</si>
  <si>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</si>
  <si>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</si>
  <si>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</si>
  <si>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</si>
  <si>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</si>
  <si>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</si>
  <si>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</si>
  <si>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</si>
  <si>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</si>
  <si>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</si>
  <si>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</si>
  <si>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</si>
  <si>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</si>
  <si>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</si>
  <si>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</si>
  <si>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</si>
  <si>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</si>
  <si>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</si>
  <si>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</si>
  <si>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</si>
  <si>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</si>
  <si>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</si>
  <si>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</si>
  <si>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</si>
  <si>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</si>
  <si>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</si>
  <si>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</si>
  <si>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</si>
  <si>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</si>
  <si>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</si>
  <si>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</si>
  <si>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</si>
  <si>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</si>
  <si>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</si>
  <si>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</si>
  <si>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</si>
  <si>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</si>
  <si>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</si>
  <si>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</si>
  <si>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</si>
  <si>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</si>
  <si>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</si>
  <si>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</si>
  <si>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</si>
  <si>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</si>
  <si>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</si>
  <si>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</si>
  <si>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</si>
  <si>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</si>
  <si>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</si>
  <si>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</si>
  <si>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</si>
  <si>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</si>
  <si>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</si>
  <si>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</si>
  <si>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</si>
  <si>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</si>
  <si>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</si>
  <si>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</si>
  <si>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</si>
  <si>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</si>
  <si>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</si>
  <si>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</si>
  <si>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</si>
  <si>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</si>
  <si>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</si>
  <si>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</si>
  <si>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</si>
  <si>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</si>
  <si>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</si>
  <si>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</si>
  <si>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</si>
  <si>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</si>
  <si>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</si>
  <si>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</si>
  <si>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</si>
  <si>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</si>
  <si>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</si>
  <si>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</si>
  <si>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</si>
  <si>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</si>
  <si>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</si>
  <si>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</si>
  <si>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</si>
  <si>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</si>
  <si>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</si>
  <si>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</si>
  <si>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</si>
  <si>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</si>
  <si>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</si>
  <si>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</si>
  <si>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</si>
  <si>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</si>
  <si>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</si>
  <si>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</si>
  <si>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</si>
  <si>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</si>
  <si>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</si>
  <si>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</si>
  <si>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</si>
  <si>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</si>
  <si>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</si>
  <si>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</si>
  <si>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</si>
  <si>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</si>
  <si>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</si>
  <si>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</si>
  <si>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</si>
  <si>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</si>
  <si>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</si>
  <si>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</si>
  <si>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</si>
  <si>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</si>
  <si>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</si>
  <si>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</si>
  <si>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</si>
  <si>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</si>
  <si>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</si>
  <si>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</si>
  <si>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</si>
  <si>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</si>
  <si>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</si>
  <si>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</si>
  <si>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</si>
  <si>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</si>
  <si>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</si>
  <si>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</si>
  <si>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</si>
  <si>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</si>
  <si>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</si>
  <si>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</si>
  <si>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</si>
  <si>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</si>
  <si>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</si>
  <si>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</si>
  <si>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</si>
  <si>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</si>
  <si>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</si>
  <si>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</si>
  <si>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</si>
  <si>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</si>
  <si>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</si>
  <si>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</si>
  <si>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</si>
  <si>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</si>
  <si>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</si>
  <si>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</si>
  <si>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</si>
  <si>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</si>
  <si>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</si>
  <si>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</si>
  <si>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</si>
  <si>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</si>
  <si>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</si>
  <si>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</si>
  <si>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</si>
  <si>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</si>
  <si>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</si>
  <si>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</si>
  <si>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</si>
  <si>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</si>
  <si>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</si>
  <si>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</si>
  <si>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</si>
  <si>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</si>
  <si>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</si>
  <si>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</si>
  <si>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</si>
  <si>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</si>
  <si>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</si>
  <si>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</si>
  <si>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</si>
  <si>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</si>
  <si>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</si>
  <si>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</si>
  <si>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</si>
  <si>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</si>
  <si>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</si>
  <si>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</si>
  <si>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</si>
  <si>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</si>
  <si>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</si>
  <si>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</si>
  <si>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</si>
  <si>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</si>
  <si>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</si>
  <si>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</si>
  <si>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</si>
  <si>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</si>
  <si>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</si>
  <si>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</si>
  <si>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</si>
  <si>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</si>
  <si>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</si>
  <si>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</si>
  <si>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</si>
  <si>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</si>
  <si>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</si>
  <si>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</si>
  <si>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</si>
  <si>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</si>
  <si>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</si>
  <si>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</si>
  <si>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</si>
  <si>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</si>
  <si>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</si>
  <si>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</si>
  <si>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</si>
  <si>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</si>
  <si>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</si>
  <si>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</si>
  <si>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</si>
  <si>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</si>
  <si>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</si>
  <si>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</si>
  <si>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</si>
  <si>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</si>
  <si>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</si>
  <si>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</si>
  <si>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</si>
  <si>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</si>
  <si>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</si>
  <si>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</si>
  <si>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</si>
  <si>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</si>
  <si>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</si>
  <si>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</si>
  <si>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</si>
  <si>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</si>
  <si>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</si>
  <si>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</si>
  <si>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</si>
  <si>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</si>
  <si>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</si>
  <si>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</si>
  <si>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</si>
  <si>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</si>
  <si>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</si>
  <si>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</si>
  <si>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</si>
  <si>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</si>
  <si>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</si>
  <si>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</si>
  <si>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</si>
  <si>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</si>
  <si>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</si>
  <si>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</si>
  <si>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</si>
  <si>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</si>
  <si>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</si>
  <si>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</si>
  <si>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</si>
  <si>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</si>
  <si>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</si>
  <si>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</si>
  <si>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</si>
  <si>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</si>
  <si>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</si>
  <si>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</si>
  <si>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</si>
  <si>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</si>
  <si>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</si>
  <si>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</si>
  <si>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</si>
  <si>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</si>
  <si>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</si>
  <si>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</si>
  <si>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</si>
  <si>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</si>
  <si>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</si>
  <si>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</si>
  <si>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</si>
  <si>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</si>
  <si>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</si>
  <si>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</si>
  <si>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</si>
  <si>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</si>
  <si>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</si>
  <si>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</si>
  <si>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</si>
  <si>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</si>
  <si>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</si>
  <si>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</si>
  <si>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</si>
  <si>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</si>
  <si>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</si>
  <si>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</si>
  <si>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</si>
  <si>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</si>
  <si>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</si>
  <si>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</si>
  <si>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</si>
  <si>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</si>
  <si>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</si>
  <si>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</si>
  <si>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</si>
  <si>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</si>
  <si>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</si>
  <si>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</si>
  <si>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</si>
  <si>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</si>
  <si>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</si>
  <si>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</si>
  <si>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</si>
  <si>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</si>
  <si>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</si>
  <si>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</si>
  <si>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</si>
  <si>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</si>
  <si>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</si>
  <si>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</si>
  <si>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</si>
  <si>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</si>
  <si>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</si>
  <si>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</si>
  <si>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</si>
  <si>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</si>
  <si>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</si>
  <si>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</si>
  <si>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</si>
  <si>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</si>
  <si>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</si>
  <si>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</si>
  <si>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</si>
  <si>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</si>
  <si>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</si>
  <si>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</si>
  <si>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</si>
  <si>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</si>
  <si>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</si>
  <si>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</si>
  <si>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</si>
  <si>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</si>
  <si>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</si>
  <si>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</si>
  <si>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</si>
  <si>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</si>
  <si>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</si>
  <si>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</si>
  <si>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</si>
  <si>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</si>
  <si>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</si>
  <si>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</si>
  <si>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</si>
  <si>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</si>
  <si>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</si>
  <si>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</si>
  <si>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</si>
  <si>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</si>
  <si>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</si>
  <si>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</si>
  <si>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</si>
  <si>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</si>
  <si>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</si>
  <si>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</si>
  <si>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</si>
  <si>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</si>
  <si>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</si>
  <si>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</si>
  <si>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</si>
  <si>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</si>
  <si>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</si>
  <si>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</si>
  <si>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</si>
  <si>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</si>
  <si>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</si>
  <si>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</si>
  <si>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</si>
  <si>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</si>
  <si>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</si>
  <si>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</si>
  <si>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</si>
  <si>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</si>
  <si>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</si>
  <si>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</si>
  <si>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</si>
  <si>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</si>
  <si>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</si>
  <si>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</si>
  <si>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</si>
  <si>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</si>
  <si>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</si>
  <si>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</si>
  <si>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</si>
  <si>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</si>
  <si>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</si>
  <si>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</si>
  <si>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</si>
  <si>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</si>
  <si>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</si>
  <si>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</si>
  <si>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</si>
  <si>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</si>
  <si>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</si>
  <si>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</si>
  <si>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</si>
  <si>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</si>
  <si>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</si>
  <si>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</si>
  <si>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</si>
  <si>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</si>
  <si>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</si>
  <si>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</si>
  <si>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</si>
  <si>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</si>
  <si>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</si>
  <si>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</si>
  <si>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</si>
  <si>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</si>
  <si>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</si>
  <si>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</si>
  <si>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</si>
  <si>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</si>
  <si>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</si>
  <si>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</si>
  <si>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</si>
  <si>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</si>
  <si>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</si>
  <si>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</si>
  <si>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</si>
  <si>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</si>
  <si>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</si>
  <si>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</si>
  <si>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</si>
  <si>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</si>
  <si>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</si>
  <si>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</si>
  <si>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</si>
  <si>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</si>
  <si>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</si>
  <si>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</si>
  <si>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</si>
  <si>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</si>
  <si>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</si>
  <si>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</si>
  <si>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</si>
  <si>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</si>
  <si>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</si>
  <si>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</si>
  <si>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</si>
  <si>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</si>
  <si>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</si>
  <si>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</si>
  <si>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</si>
  <si>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</si>
  <si>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</si>
  <si>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</si>
  <si>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</si>
  <si>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</si>
  <si>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</si>
  <si>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</si>
  <si>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</si>
  <si>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</si>
  <si>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</si>
  <si>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</si>
  <si>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</si>
  <si>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</si>
  <si>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</si>
  <si>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</si>
  <si>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</si>
  <si>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</si>
  <si>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</si>
  <si>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</si>
  <si>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</si>
  <si>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</si>
  <si>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</si>
  <si>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</si>
  <si>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</si>
  <si>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</si>
  <si>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</si>
  <si>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</si>
  <si>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</si>
  <si>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</si>
  <si>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</si>
  <si>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</si>
  <si>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</si>
  <si>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</si>
  <si>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</si>
  <si>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</si>
  <si>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</si>
  <si>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</si>
  <si>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</si>
  <si>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</si>
  <si>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</si>
  <si>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</si>
  <si>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</si>
  <si>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</si>
  <si>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</si>
  <si>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</si>
  <si>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</si>
  <si>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</si>
  <si>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</si>
  <si>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</si>
  <si>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</si>
  <si>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</si>
  <si>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</si>
  <si>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</si>
  <si>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</si>
  <si>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</si>
  <si>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</si>
  <si>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</si>
  <si>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</si>
  <si>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</si>
  <si>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</si>
  <si>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</si>
  <si>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</si>
  <si>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</si>
  <si>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</si>
  <si>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</si>
  <si>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</si>
  <si>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</si>
  <si>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</si>
  <si>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</si>
  <si>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</si>
  <si>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</si>
  <si>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</si>
  <si>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</si>
  <si>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</si>
  <si>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</si>
  <si>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</si>
  <si>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</si>
  <si>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</si>
  <si>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</si>
  <si>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</si>
  <si>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</si>
  <si>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</si>
  <si>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</si>
  <si>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</si>
  <si>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</si>
  <si>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</si>
  <si>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</si>
  <si>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</si>
  <si>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</si>
  <si>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</si>
  <si>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</si>
  <si>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</si>
  <si>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</si>
  <si>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</si>
  <si>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</si>
  <si>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</si>
  <si>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</si>
  <si>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</si>
  <si>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</si>
  <si>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</si>
  <si>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</si>
  <si>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</si>
  <si>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</si>
  <si>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</si>
  <si>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</si>
  <si>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</si>
  <si>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</si>
  <si>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</si>
  <si>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</si>
  <si>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</si>
  <si>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</si>
  <si>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</si>
  <si>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</si>
  <si>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</si>
  <si>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</si>
  <si>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</si>
  <si>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</si>
  <si>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</si>
  <si>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</si>
  <si>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</si>
  <si>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</si>
  <si>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</si>
  <si>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</si>
  <si>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</si>
  <si>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</si>
  <si>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</si>
  <si>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</si>
  <si>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</si>
  <si>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</si>
  <si>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</si>
  <si>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</si>
  <si>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</si>
  <si>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</si>
  <si>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</si>
  <si>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</si>
  <si>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</si>
  <si>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</si>
  <si>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</si>
  <si>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</si>
  <si>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</si>
  <si>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</si>
  <si>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</si>
  <si>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</si>
  <si>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</si>
  <si>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</si>
  <si>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</si>
  <si>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</si>
  <si>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</si>
  <si>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</si>
  <si>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</si>
  <si>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</si>
  <si>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</si>
  <si>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</si>
  <si>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</si>
  <si>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</si>
  <si>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</si>
  <si>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</si>
  <si>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</si>
  <si>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</si>
  <si>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</si>
  <si>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</si>
  <si>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</si>
  <si>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</si>
  <si>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</si>
  <si>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</si>
  <si>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</si>
  <si>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</si>
  <si>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</si>
  <si>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</si>
  <si>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</si>
  <si>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</si>
  <si>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</si>
  <si>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</si>
  <si>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</si>
  <si>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</si>
  <si>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</si>
  <si>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</si>
  <si>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</si>
  <si>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</si>
  <si>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</si>
  <si>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</si>
  <si>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</si>
  <si>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</si>
  <si>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</si>
  <si>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</si>
  <si>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</si>
  <si>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</si>
  <si>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</si>
  <si>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</si>
  <si>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</si>
  <si>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</si>
  <si>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</si>
  <si>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</si>
  <si>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</si>
  <si>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</si>
  <si>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</si>
  <si>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</si>
  <si>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</si>
  <si>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</si>
  <si>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</si>
  <si>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</si>
  <si>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</si>
  <si>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</si>
  <si>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</si>
  <si>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</si>
  <si>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</si>
  <si>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</si>
  <si>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</si>
  <si>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</si>
  <si>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</si>
  <si>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</si>
  <si>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</si>
  <si>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</si>
  <si>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</si>
  <si>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</si>
  <si>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</si>
  <si>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</si>
  <si>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</si>
  <si>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</si>
  <si>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</si>
  <si>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</si>
  <si>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</si>
  <si>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</si>
  <si>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</si>
  <si>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</si>
  <si>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</si>
  <si>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</si>
  <si>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</si>
  <si>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</si>
  <si>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</si>
  <si>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</si>
  <si>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</si>
  <si>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</si>
  <si>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</si>
  <si>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</si>
  <si>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</si>
  <si>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</si>
  <si>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</si>
  <si>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</si>
  <si>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</si>
  <si>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</si>
  <si>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</si>
  <si>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</si>
  <si>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</si>
  <si>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</si>
  <si>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</si>
  <si>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</si>
  <si>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</si>
  <si>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</si>
  <si>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</si>
  <si>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</si>
  <si>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</si>
  <si>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</si>
  <si>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</si>
  <si>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</si>
  <si>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</si>
  <si>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</si>
  <si>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</si>
  <si>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</si>
  <si>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</si>
  <si>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</si>
  <si>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</si>
  <si>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</si>
  <si>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</si>
  <si>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</si>
  <si>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</si>
  <si>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</si>
  <si>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</si>
  <si>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</si>
  <si>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</si>
  <si>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</si>
  <si>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</si>
  <si>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</si>
  <si>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</si>
  <si>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</si>
  <si>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</si>
  <si>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</si>
  <si>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</si>
  <si>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</si>
  <si>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</si>
  <si>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</si>
  <si>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</si>
  <si>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</si>
  <si>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</si>
  <si>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</si>
  <si>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</si>
  <si>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</si>
  <si>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</si>
  <si>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</si>
  <si>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</si>
  <si>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</si>
  <si>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</si>
  <si>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</si>
  <si>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</si>
  <si>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</si>
  <si>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</si>
  <si>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</si>
  <si>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</si>
  <si>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</si>
  <si>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</si>
  <si>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</si>
  <si>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</si>
  <si>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</si>
  <si>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</si>
  <si>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</si>
  <si>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</si>
  <si>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</si>
  <si>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</si>
  <si>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</si>
  <si>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</si>
  <si>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</si>
  <si>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</si>
  <si>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</si>
  <si>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</si>
  <si>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</si>
  <si>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</si>
  <si>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</si>
  <si>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</si>
  <si>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</si>
  <si>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</si>
  <si>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</si>
  <si>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</si>
  <si>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</si>
  <si>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</si>
  <si>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</si>
  <si>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</si>
  <si>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</si>
  <si>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</si>
  <si>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</si>
  <si>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</si>
  <si>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</si>
  <si>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</si>
  <si>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</si>
  <si>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</si>
  <si>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</si>
  <si>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</si>
  <si>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</si>
  <si>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</si>
  <si>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</si>
  <si>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</si>
  <si>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</si>
  <si>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</si>
  <si>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</si>
  <si>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</si>
  <si>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</si>
  <si>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</si>
  <si>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</si>
  <si>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</si>
  <si>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</si>
  <si>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</si>
  <si>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</si>
  <si>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</si>
  <si>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</si>
  <si>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</si>
  <si>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</si>
  <si>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</si>
  <si>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</si>
  <si>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</si>
  <si>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</si>
  <si>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</si>
  <si>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</si>
  <si>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</si>
  <si>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</si>
  <si>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</si>
  <si>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</si>
  <si>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</si>
  <si>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</si>
  <si>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</si>
  <si>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</si>
  <si>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</si>
  <si>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</si>
  <si>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</si>
  <si>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</si>
  <si>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</si>
  <si>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</si>
  <si>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</si>
  <si>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</si>
  <si>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</si>
  <si>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</si>
  <si>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</si>
  <si>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</si>
  <si>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</si>
  <si>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</si>
  <si>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</si>
  <si>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</si>
  <si>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</si>
  <si>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</si>
  <si>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</si>
  <si>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</si>
  <si>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</si>
  <si>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</si>
  <si>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</si>
  <si>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</si>
  <si>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</si>
  <si>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</si>
  <si>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</si>
  <si>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</si>
  <si>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</si>
  <si>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</si>
  <si>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</si>
  <si>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</si>
  <si>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</si>
  <si>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</si>
  <si>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</si>
  <si>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</si>
  <si>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</si>
  <si>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</si>
  <si>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</si>
  <si>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</si>
  <si>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</si>
  <si>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</si>
  <si>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</si>
  <si>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</si>
  <si>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</si>
  <si>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</si>
  <si>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</si>
  <si>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</si>
  <si>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</si>
  <si>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</si>
  <si>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</si>
  <si>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</si>
  <si>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</si>
  <si>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</si>
  <si>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</si>
  <si>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</si>
  <si>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</si>
  <si>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</si>
  <si>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</si>
  <si>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</si>
  <si>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</si>
  <si>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</si>
  <si>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</si>
  <si>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</si>
  <si>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</si>
  <si>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</si>
  <si>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</si>
  <si>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</si>
  <si>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</si>
  <si>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</si>
  <si>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</si>
  <si>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</si>
  <si>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</si>
  <si>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</si>
  <si>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</si>
  <si>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</si>
  <si>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</si>
  <si>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</si>
  <si>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</si>
  <si>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</si>
  <si>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</si>
  <si>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</si>
  <si>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</si>
  <si>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</si>
  <si>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</si>
  <si>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</si>
  <si>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</si>
  <si>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</si>
  <si>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</si>
  <si>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</si>
  <si>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</si>
  <si>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</si>
  <si>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</si>
  <si>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</si>
  <si>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</si>
  <si>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</si>
  <si>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</si>
  <si>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</si>
  <si>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</si>
  <si>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</si>
  <si>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</si>
  <si>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</si>
  <si>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</si>
  <si>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</si>
  <si>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</si>
  <si>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</si>
  <si>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</si>
  <si>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</si>
  <si>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</si>
  <si>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</si>
  <si>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</si>
  <si>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</si>
  <si>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</si>
  <si>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</si>
  <si>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</si>
  <si>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</si>
  <si>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</si>
  <si>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</si>
  <si>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</si>
  <si>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</si>
  <si>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</si>
  <si>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</si>
  <si>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</si>
  <si>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</si>
  <si>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</si>
  <si>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</si>
  <si>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</si>
  <si>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</si>
  <si>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</si>
  <si>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</si>
  <si>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</si>
  <si>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</si>
  <si>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</si>
  <si>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</si>
  <si>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</si>
  <si>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</si>
  <si>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</si>
  <si>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</si>
  <si>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</si>
  <si>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</si>
  <si>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</si>
  <si>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</si>
  <si>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</si>
  <si>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</si>
  <si>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</si>
  <si>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</si>
  <si>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</si>
  <si>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</si>
  <si>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</si>
  <si>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</si>
  <si>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</si>
  <si>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</si>
  <si>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</si>
  <si>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</si>
  <si>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</si>
  <si>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</si>
  <si>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</si>
  <si>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</si>
  <si>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</si>
  <si>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</si>
  <si>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</si>
  <si>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</si>
  <si>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</si>
  <si>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</si>
  <si>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</si>
  <si>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</si>
  <si>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</si>
  <si>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</si>
  <si>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</si>
  <si>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</si>
  <si>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</si>
  <si>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</si>
  <si>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</si>
  <si>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</si>
  <si>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</si>
  <si>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</si>
  <si>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</si>
  <si>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</si>
  <si>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</si>
  <si>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</si>
  <si>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</si>
  <si>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</si>
  <si>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</si>
  <si>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</si>
  <si>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</si>
  <si>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</si>
  <si>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</si>
  <si>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</si>
  <si>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</si>
  <si>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</si>
  <si>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</si>
  <si>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</si>
  <si>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</si>
  <si>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</si>
  <si>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</si>
  <si>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</si>
  <si>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</si>
  <si>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</si>
  <si>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</si>
  <si>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</si>
  <si>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</si>
  <si>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</si>
  <si>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</si>
  <si>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</si>
  <si>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</si>
  <si>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</si>
  <si>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</si>
  <si>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</si>
  <si>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</si>
  <si>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</si>
  <si>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</si>
  <si>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</si>
  <si>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</si>
  <si>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</si>
  <si>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</si>
  <si>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</si>
  <si>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</si>
  <si>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</si>
  <si>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</si>
  <si>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</si>
  <si>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</si>
  <si>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</si>
  <si>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</si>
  <si>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</si>
  <si>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</si>
  <si>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</si>
  <si>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</si>
  <si>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</si>
  <si>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</si>
  <si>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</si>
  <si>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</si>
  <si>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</si>
  <si>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</si>
  <si>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</si>
  <si>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</si>
  <si>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</si>
  <si>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</si>
  <si>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</si>
  <si>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</si>
  <si>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</si>
  <si>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</si>
  <si>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</si>
  <si>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</si>
  <si>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</si>
  <si>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</si>
  <si>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</si>
  <si>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</si>
  <si>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</si>
  <si>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</si>
  <si>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</si>
  <si>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</si>
  <si>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</si>
  <si>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</si>
  <si>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</si>
  <si>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</si>
  <si>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</si>
  <si>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</si>
  <si>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</si>
  <si>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</si>
  <si>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</si>
  <si>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</si>
  <si>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</si>
  <si>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</si>
  <si>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</si>
  <si>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</si>
  <si>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</si>
  <si>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</si>
  <si>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</si>
  <si>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</si>
  <si>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</si>
  <si>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</si>
  <si>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</si>
  <si>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</si>
  <si>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</si>
  <si>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</si>
  <si>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</si>
  <si>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</si>
  <si>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</si>
  <si>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</si>
  <si>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</si>
  <si>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</si>
  <si>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</si>
  <si>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</si>
  <si>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</si>
  <si>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</si>
  <si>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</si>
  <si>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</si>
  <si>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</si>
  <si>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</si>
  <si>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</si>
  <si>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</si>
  <si>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</si>
  <si>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</si>
  <si>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</si>
  <si>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</si>
  <si>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</si>
  <si>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</si>
  <si>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</si>
  <si>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</si>
  <si>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</si>
  <si>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</si>
  <si>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</si>
  <si>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</si>
  <si>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</si>
  <si>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</si>
  <si>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</si>
  <si>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</si>
  <si>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</si>
  <si>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</si>
  <si>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</si>
  <si>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</si>
  <si>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</si>
  <si>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</si>
  <si>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</si>
  <si>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</si>
  <si>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</si>
  <si>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</si>
  <si>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</si>
  <si>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</si>
  <si>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</si>
  <si>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</si>
  <si>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</si>
  <si>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</si>
  <si>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</si>
  <si>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</si>
  <si>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</si>
  <si>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</si>
  <si>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</si>
  <si>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</si>
  <si>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</si>
  <si>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</si>
  <si>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</si>
  <si>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</si>
  <si>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</si>
  <si>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</si>
  <si>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</si>
  <si>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</si>
  <si>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</si>
  <si>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</si>
  <si>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</si>
  <si>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</si>
  <si>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</si>
  <si>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</si>
  <si>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</si>
  <si>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</si>
  <si>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</si>
  <si>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</si>
  <si>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</si>
  <si>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</si>
  <si>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</si>
  <si>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</si>
  <si>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</si>
  <si>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</si>
  <si>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</si>
  <si>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</si>
  <si>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</si>
  <si>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</si>
  <si>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</si>
  <si>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</si>
  <si>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</si>
  <si>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</si>
  <si>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</si>
  <si>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</si>
  <si>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</si>
  <si>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</si>
  <si>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</si>
  <si>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</si>
  <si>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</si>
  <si>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</si>
  <si>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</si>
  <si>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</si>
  <si>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</si>
  <si>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</si>
  <si>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</si>
  <si>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</si>
  <si>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</si>
  <si>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</si>
  <si>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</si>
  <si>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</si>
  <si>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</si>
  <si>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</si>
  <si>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</si>
  <si>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</si>
  <si>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</si>
  <si>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</si>
  <si>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</si>
  <si>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</si>
  <si>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</si>
  <si>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</si>
  <si>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</si>
  <si>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</si>
  <si>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</si>
  <si>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</si>
  <si>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</si>
  <si>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</si>
  <si>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</si>
  <si>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</si>
  <si>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</si>
  <si>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</si>
  <si>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</si>
  <si>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</si>
  <si>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</si>
  <si>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</si>
  <si>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</si>
  <si>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</si>
  <si>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</si>
  <si>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</si>
  <si>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</si>
  <si>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</si>
  <si>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</si>
  <si>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</si>
  <si>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</si>
  <si>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</si>
  <si>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</si>
  <si>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</si>
  <si>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</si>
  <si>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</si>
  <si>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</si>
  <si>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</si>
  <si>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</si>
  <si>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</si>
  <si>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</si>
  <si>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</si>
  <si>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</si>
  <si>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</si>
  <si>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</si>
  <si>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</si>
  <si>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</si>
  <si>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</si>
  <si>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</si>
  <si>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</si>
  <si>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</si>
  <si>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</si>
  <si>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</si>
  <si>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</si>
  <si>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</si>
  <si>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</si>
  <si>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</si>
  <si>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</si>
  <si>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</si>
  <si>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</si>
  <si>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</si>
  <si>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</si>
  <si>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</si>
  <si>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</si>
  <si>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</si>
  <si>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</si>
  <si>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</si>
  <si>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</si>
  <si>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</si>
  <si>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</si>
  <si>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</si>
  <si>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</si>
  <si>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</si>
  <si>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</si>
  <si>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</si>
  <si>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</si>
  <si>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</si>
  <si>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</si>
  <si>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</si>
  <si>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</si>
  <si>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</si>
  <si>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</si>
  <si>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</si>
  <si>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</si>
  <si>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</si>
  <si>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</si>
  <si>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</si>
  <si>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</si>
  <si>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</si>
  <si>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</si>
  <si>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</si>
  <si>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</si>
  <si>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</si>
  <si>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</si>
  <si>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</si>
  <si>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</si>
  <si>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</si>
  <si>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</si>
  <si>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</si>
  <si>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</si>
  <si>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</si>
  <si>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</si>
  <si>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</si>
  <si>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</si>
  <si>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</si>
  <si>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</si>
  <si>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</si>
  <si>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</si>
  <si>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</si>
  <si>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</si>
  <si>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</si>
  <si>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</si>
  <si>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</si>
  <si>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</si>
  <si>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</si>
  <si>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</si>
  <si>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</si>
  <si>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</si>
  <si>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</si>
  <si>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</si>
  <si>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</si>
  <si>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</si>
  <si>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</si>
  <si>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</si>
  <si>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</si>
  <si>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</si>
  <si>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</si>
  <si>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</si>
  <si>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</si>
  <si>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</si>
  <si>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</si>
  <si>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</si>
  <si>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</si>
  <si>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</si>
  <si>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</si>
  <si>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</si>
  <si>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</si>
  <si>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</si>
  <si>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</si>
  <si>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</si>
  <si>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</si>
  <si>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</si>
  <si>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</si>
  <si>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</si>
  <si>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</si>
  <si>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</si>
  <si>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</si>
  <si>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</si>
  <si>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</si>
  <si>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</si>
  <si>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</si>
  <si>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</si>
  <si>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</si>
  <si>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</si>
  <si>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</si>
  <si>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</si>
  <si>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</si>
  <si>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</si>
  <si>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</si>
  <si>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</si>
  <si>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</si>
  <si>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</si>
  <si>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</si>
  <si>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</si>
  <si>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</si>
  <si>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</si>
  <si>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</si>
  <si>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</si>
  <si>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</si>
  <si>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</si>
  <si>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</si>
  <si>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</si>
  <si>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</si>
  <si>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</si>
  <si>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</si>
  <si>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</si>
  <si>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</si>
  <si>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</si>
  <si>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</si>
  <si>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</si>
  <si>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</si>
  <si>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</si>
  <si>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</si>
  <si>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</si>
  <si>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</si>
  <si>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</si>
  <si>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</si>
  <si>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</si>
  <si>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</si>
  <si>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</si>
  <si>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</si>
  <si>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</si>
  <si>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</si>
  <si>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</si>
  <si>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</si>
  <si>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</si>
  <si>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</si>
  <si>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</si>
  <si>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</si>
  <si>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</si>
  <si>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</si>
  <si>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</si>
  <si>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</si>
  <si>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</si>
  <si>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</si>
  <si>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</si>
  <si>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</si>
  <si>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</si>
  <si>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</si>
  <si>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</si>
  <si>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</si>
  <si>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</si>
  <si>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</si>
  <si>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</si>
  <si>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</si>
  <si>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</si>
  <si>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</si>
  <si>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</si>
  <si>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</si>
  <si>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</si>
  <si>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</si>
  <si>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</si>
  <si>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</si>
  <si>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</si>
  <si>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</si>
  <si>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</si>
  <si>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</si>
  <si>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</si>
  <si>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</si>
  <si>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</si>
  <si>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</si>
  <si>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</si>
  <si>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</si>
  <si>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</si>
  <si>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</si>
  <si>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</si>
  <si>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</si>
  <si>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</si>
  <si>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</si>
  <si>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</si>
  <si>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</si>
  <si>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</si>
  <si>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</si>
  <si>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</si>
  <si>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</si>
  <si>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</si>
  <si>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</si>
  <si>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</si>
  <si>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</si>
  <si>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</si>
  <si>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</si>
  <si>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</si>
  <si>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</si>
  <si>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</si>
  <si>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</si>
  <si>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</si>
  <si>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</si>
  <si>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</si>
  <si>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</si>
  <si>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</si>
  <si>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</si>
  <si>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</si>
  <si>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</si>
  <si>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</si>
  <si>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</si>
  <si>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</si>
  <si>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</si>
  <si>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</si>
  <si>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</si>
  <si>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</si>
  <si>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</si>
  <si>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</si>
  <si>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</si>
  <si>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</si>
  <si>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</si>
  <si>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</si>
  <si>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</si>
  <si>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</si>
  <si>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</si>
  <si>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</si>
  <si>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</si>
  <si>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</si>
  <si>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</si>
  <si>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</si>
  <si>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</si>
  <si>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</si>
  <si>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</si>
  <si>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</si>
  <si>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</si>
  <si>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</si>
  <si>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</si>
  <si>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</si>
  <si>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</si>
  <si>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</si>
  <si>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</si>
  <si>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</si>
  <si>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</si>
  <si>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</si>
  <si>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</si>
  <si>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</si>
  <si>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</si>
  <si>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</si>
  <si>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</si>
  <si>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</si>
  <si>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</si>
  <si>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</si>
  <si>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</si>
  <si>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</si>
  <si>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</si>
  <si>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</si>
  <si>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</si>
  <si>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</si>
  <si>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</si>
  <si>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</si>
  <si>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</si>
  <si>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</si>
  <si>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</si>
  <si>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</si>
  <si>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</si>
  <si>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</si>
  <si>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</si>
  <si>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</si>
  <si>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</si>
  <si>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</si>
  <si>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</si>
  <si>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</si>
  <si>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</si>
  <si>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</si>
  <si>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</si>
  <si>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</si>
  <si>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</si>
  <si>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</si>
  <si>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</si>
  <si>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</si>
  <si>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</si>
  <si>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</si>
  <si>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</si>
  <si>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</si>
  <si>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</si>
  <si>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</si>
  <si>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</si>
  <si>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</si>
  <si>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</si>
  <si>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</si>
  <si>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</si>
  <si>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</si>
  <si>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</si>
  <si>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</si>
  <si>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</si>
  <si>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</si>
  <si>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</si>
  <si>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</si>
  <si>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</si>
  <si>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</si>
  <si>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</si>
  <si>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</si>
  <si>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</si>
  <si>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</si>
  <si>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</si>
  <si>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</si>
  <si>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</si>
  <si>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</si>
  <si>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</si>
  <si>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</si>
  <si>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</si>
  <si>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</si>
  <si>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</si>
  <si>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</si>
  <si>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</si>
  <si>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</si>
  <si>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</si>
  <si>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</si>
  <si>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</si>
  <si>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</si>
  <si>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</si>
  <si>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</si>
  <si>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</si>
  <si>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</si>
  <si>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</si>
  <si>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</si>
  <si>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</si>
  <si>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</si>
  <si>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</si>
  <si>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</si>
  <si>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</si>
  <si>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</si>
  <si>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</si>
  <si>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</si>
  <si>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</si>
  <si>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</si>
  <si>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</si>
  <si>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</si>
  <si>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</si>
  <si>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</si>
  <si>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</si>
  <si>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</si>
  <si>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</si>
  <si>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</si>
  <si>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</si>
  <si>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</si>
  <si>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</si>
  <si>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</si>
  <si>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</si>
  <si>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</si>
  <si>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</si>
  <si>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</si>
  <si>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</si>
  <si>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</si>
  <si>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</si>
  <si>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</si>
  <si>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</si>
  <si>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</si>
  <si>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</si>
  <si>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</si>
  <si>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</si>
  <si>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</si>
  <si>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</si>
  <si>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</si>
  <si>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</si>
  <si>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</si>
  <si>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</si>
  <si>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</si>
  <si>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</si>
  <si>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</si>
  <si>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</si>
  <si>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</si>
  <si>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</si>
  <si>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</si>
  <si>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</si>
  <si>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</si>
  <si>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</si>
  <si>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</si>
  <si>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</si>
  <si>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</si>
  <si>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</si>
  <si>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</si>
  <si>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</si>
  <si>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</si>
  <si>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</si>
  <si>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</si>
  <si>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</si>
  <si>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</si>
  <si>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</si>
  <si>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</si>
  <si>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</si>
  <si>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</si>
  <si>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</si>
  <si>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</si>
  <si>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</si>
  <si>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</si>
  <si>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</si>
  <si>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</si>
  <si>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</si>
  <si>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</si>
  <si>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</si>
  <si>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</si>
  <si>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</si>
  <si>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</si>
  <si>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</si>
  <si>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</si>
  <si>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</si>
  <si>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</si>
  <si>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</si>
  <si>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</si>
  <si>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</si>
  <si>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</si>
  <si>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</si>
  <si>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</si>
  <si>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</si>
  <si>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</si>
  <si>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</si>
  <si>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</si>
  <si>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</si>
  <si>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</si>
  <si>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</si>
  <si>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</si>
  <si>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</si>
  <si>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</si>
  <si>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</si>
  <si>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</si>
  <si>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</si>
  <si>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</si>
  <si>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</si>
  <si>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</si>
  <si>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</si>
  <si>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</si>
  <si>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</si>
  <si>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</si>
  <si>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</si>
  <si>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</si>
  <si>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</si>
  <si>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</si>
  <si>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</si>
  <si>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</si>
  <si>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</si>
  <si>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</si>
  <si>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</si>
  <si>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</si>
  <si>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</si>
  <si>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</si>
  <si>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</si>
  <si>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</si>
  <si>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</si>
  <si>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</si>
  <si>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</si>
  <si>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</si>
  <si>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</si>
  <si>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</si>
  <si>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</si>
  <si>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</si>
  <si>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</si>
  <si>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</si>
  <si>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</si>
  <si>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</si>
  <si>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</si>
  <si>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</si>
  <si>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</si>
  <si>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</si>
  <si>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</si>
  <si>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</si>
  <si>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</si>
  <si>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</si>
  <si>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</si>
  <si>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</si>
  <si>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</si>
  <si>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</si>
  <si>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</si>
  <si>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</si>
  <si>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</si>
  <si>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</si>
  <si>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</si>
  <si>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</si>
  <si>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</si>
  <si>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</si>
  <si>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</si>
  <si>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</si>
  <si>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</si>
  <si>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</si>
  <si>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</si>
  <si>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</si>
  <si>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</si>
  <si>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</si>
  <si>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</si>
  <si>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</si>
  <si>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</si>
  <si>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</si>
  <si>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</si>
  <si>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</si>
  <si>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</si>
  <si>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</si>
  <si>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</si>
  <si>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</si>
  <si>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</si>
  <si>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</si>
  <si>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</si>
  <si>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</si>
  <si>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</si>
  <si>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</si>
  <si>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</si>
  <si>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</si>
  <si>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</si>
  <si>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</si>
  <si>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</si>
  <si>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</si>
  <si>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</si>
  <si>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</si>
  <si>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</si>
  <si>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</si>
  <si>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</si>
  <si>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</si>
  <si>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</si>
  <si>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</si>
  <si>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</si>
  <si>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</si>
  <si>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</si>
  <si>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</si>
  <si>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</si>
  <si>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</si>
  <si>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</si>
  <si>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</si>
  <si>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</si>
  <si>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</si>
  <si>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</si>
  <si>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</si>
  <si>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</si>
  <si>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</si>
  <si>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</si>
  <si>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</si>
  <si>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</si>
  <si>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</si>
  <si>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</si>
  <si>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</si>
  <si>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</si>
  <si>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</si>
  <si>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</si>
  <si>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</si>
  <si>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</si>
  <si>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</si>
  <si>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</si>
  <si>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</si>
  <si>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</si>
  <si>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</si>
  <si>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</si>
  <si>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</si>
  <si>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</si>
  <si>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</si>
  <si>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</si>
  <si>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</si>
  <si>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</si>
  <si>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</si>
  <si>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</si>
  <si>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</si>
  <si>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</si>
  <si>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</si>
  <si>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</si>
  <si>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</si>
  <si>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</si>
  <si>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</si>
  <si>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</si>
  <si>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</si>
  <si>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</si>
  <si>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</si>
  <si>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</si>
  <si>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</si>
  <si>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</si>
  <si>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</si>
  <si>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</si>
  <si>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</si>
  <si>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</si>
  <si>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</si>
  <si>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</si>
  <si>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</si>
  <si>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</si>
  <si>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</si>
  <si>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</si>
  <si>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</si>
  <si>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</si>
  <si>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</si>
  <si>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</si>
  <si>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</si>
  <si>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</si>
  <si>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</si>
  <si>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</si>
  <si>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</si>
  <si>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</si>
  <si>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</si>
  <si>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</si>
  <si>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</si>
  <si>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</si>
  <si>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</si>
  <si>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</si>
  <si>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</si>
  <si>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</si>
  <si>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</si>
  <si>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</si>
  <si>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</si>
  <si>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</si>
  <si>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</si>
  <si>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</si>
  <si>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</si>
  <si>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</si>
  <si>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</si>
  <si>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</si>
  <si>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</si>
  <si>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</si>
  <si>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</si>
  <si>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</si>
  <si>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</si>
  <si>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</si>
  <si>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</si>
  <si>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</si>
  <si>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</si>
  <si>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</si>
  <si>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</si>
  <si>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</si>
  <si>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</si>
  <si>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</si>
  <si>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</si>
  <si>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</si>
  <si>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</si>
  <si>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</si>
  <si>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</si>
  <si>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</si>
  <si>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</si>
  <si>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</si>
  <si>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</si>
  <si>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</si>
  <si>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</si>
  <si>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</si>
  <si>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</si>
  <si>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</si>
  <si>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</si>
  <si>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</si>
  <si>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</si>
  <si>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</si>
  <si>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</si>
  <si>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</si>
  <si>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</si>
  <si>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</si>
  <si>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</si>
  <si>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</si>
  <si>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</si>
  <si>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</si>
  <si>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</si>
  <si>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</si>
  <si>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</si>
  <si>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</si>
  <si>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</si>
  <si>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</si>
  <si>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</si>
  <si>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</si>
  <si>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</si>
  <si>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</si>
  <si>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</si>
  <si>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</si>
  <si>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</si>
  <si>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</si>
  <si>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</si>
  <si>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</si>
  <si>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</si>
  <si>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</si>
  <si>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</si>
  <si>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</si>
  <si>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</si>
  <si>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</si>
  <si>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</si>
  <si>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</si>
  <si>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</si>
  <si>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</si>
  <si>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</si>
  <si>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</si>
  <si>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</si>
  <si>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</si>
  <si>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</si>
  <si>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</si>
  <si>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</si>
  <si>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</si>
  <si>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</si>
  <si>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</si>
  <si>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</si>
  <si>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</si>
  <si>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</si>
  <si>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</si>
  <si>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</si>
  <si>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</si>
  <si>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</si>
  <si>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</si>
  <si>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</si>
  <si>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</si>
  <si>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</si>
  <si>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</si>
  <si>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</si>
  <si>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</si>
  <si>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</si>
  <si>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</si>
  <si>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</si>
  <si>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</si>
  <si>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</si>
  <si>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</si>
  <si>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</si>
  <si>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</si>
  <si>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</si>
  <si>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</si>
  <si>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</si>
  <si>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</si>
  <si>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</si>
  <si>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</si>
  <si>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</si>
  <si>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</si>
  <si>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</si>
  <si>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</si>
  <si>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</si>
  <si>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</si>
  <si>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</si>
  <si>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</si>
  <si>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</si>
  <si>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</si>
  <si>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</si>
  <si>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</si>
  <si>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</si>
  <si>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</si>
  <si>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</si>
  <si>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</si>
  <si>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</si>
  <si>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</si>
  <si>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</si>
  <si>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</si>
  <si>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</si>
  <si>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</si>
  <si>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</si>
  <si>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</si>
  <si>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</si>
  <si>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</si>
  <si>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</si>
  <si>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</si>
  <si>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</si>
  <si>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</si>
  <si>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</si>
  <si>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</si>
  <si>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</si>
  <si>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</si>
  <si>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</si>
  <si>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</si>
  <si>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</si>
  <si>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</si>
  <si>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</si>
  <si>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</si>
  <si>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</si>
  <si>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</si>
  <si>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</si>
  <si>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</si>
  <si>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</si>
  <si>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</si>
  <si>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</si>
  <si>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</si>
  <si>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</si>
  <si>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</si>
  <si>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</si>
  <si>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</si>
  <si>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</si>
  <si>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</si>
  <si>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</si>
  <si>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</si>
  <si>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</si>
  <si>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</si>
  <si>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</si>
  <si>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</si>
  <si>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</si>
  <si>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</si>
  <si>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</si>
  <si>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</si>
  <si>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</si>
  <si>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</si>
  <si>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</si>
  <si>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</si>
  <si>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</si>
  <si>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</si>
  <si>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</si>
  <si>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</si>
  <si>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</si>
  <si>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</si>
  <si>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</si>
  <si>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</si>
  <si>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</si>
  <si>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</si>
  <si>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</si>
  <si>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</si>
  <si>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</si>
  <si>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</si>
  <si>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</si>
  <si>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</si>
  <si>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</si>
  <si>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</si>
  <si>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</si>
  <si>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</si>
  <si>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</si>
  <si>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</si>
  <si>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</si>
  <si>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</si>
  <si>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</si>
  <si>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</si>
  <si>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</si>
  <si>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</si>
  <si>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</si>
  <si>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</si>
  <si>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</si>
  <si>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</si>
  <si>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</si>
  <si>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</si>
  <si>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</si>
  <si>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</si>
  <si>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</si>
  <si>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</si>
  <si>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</si>
  <si>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</si>
  <si>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</si>
  <si>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</si>
  <si>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</si>
  <si>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</si>
  <si>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</si>
  <si>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</si>
  <si>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</si>
  <si>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</si>
  <si>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</si>
  <si>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</si>
  <si>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</si>
  <si>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</si>
  <si>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</si>
  <si>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</si>
  <si>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</si>
  <si>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</si>
  <si>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</si>
  <si>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</si>
  <si>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</si>
  <si>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</si>
  <si>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</si>
  <si>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</si>
  <si>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</si>
  <si>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</si>
  <si>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</si>
  <si>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</si>
  <si>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</si>
  <si>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</si>
  <si>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</si>
  <si>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</si>
  <si>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</si>
  <si>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</si>
  <si>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</si>
  <si>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</si>
  <si>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</si>
  <si>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</si>
  <si>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</si>
  <si>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</si>
  <si>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</si>
  <si>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</si>
  <si>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</si>
  <si>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</si>
  <si>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</si>
  <si>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</si>
  <si>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</si>
  <si>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</si>
  <si>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</si>
  <si>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</si>
  <si>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</si>
  <si>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</si>
  <si>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</si>
  <si>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</si>
  <si>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</si>
  <si>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</si>
  <si>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</si>
  <si>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</si>
  <si>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</si>
  <si>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</si>
  <si>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</si>
  <si>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</si>
  <si>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</si>
  <si>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</si>
  <si>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</si>
  <si>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</si>
  <si>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</si>
  <si>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</si>
  <si>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</si>
  <si>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</si>
  <si>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</si>
  <si>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</si>
  <si>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</si>
  <si>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</si>
  <si>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</si>
  <si>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</si>
  <si>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</si>
  <si>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</si>
  <si>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</si>
  <si>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</si>
  <si>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</si>
  <si>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</si>
  <si>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</si>
  <si>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</si>
  <si>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</si>
  <si>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</si>
  <si>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</si>
  <si>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</si>
  <si>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</si>
  <si>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</si>
  <si>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</si>
  <si>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</si>
  <si>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</si>
  <si>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</si>
  <si>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</si>
  <si>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</si>
  <si>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</si>
  <si>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</si>
  <si>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</si>
  <si>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</si>
  <si>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</si>
  <si>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</si>
  <si>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</si>
  <si>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</si>
  <si>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</si>
  <si>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</si>
  <si>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</si>
  <si>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</si>
  <si>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</si>
  <si>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</si>
  <si>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</si>
  <si>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</si>
  <si>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</si>
  <si>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</si>
  <si>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</si>
  <si>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</si>
  <si>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</si>
  <si>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</si>
  <si>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</si>
  <si>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</si>
  <si>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</si>
  <si>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</si>
  <si>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</si>
  <si>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</si>
  <si>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</si>
  <si>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</si>
  <si>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</si>
  <si>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</si>
  <si>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</si>
  <si>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</si>
  <si>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</si>
  <si>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</si>
  <si>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</si>
  <si>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</si>
  <si>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</si>
  <si>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</si>
  <si>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</si>
  <si>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</si>
  <si>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</si>
  <si>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</si>
  <si>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</si>
  <si>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</si>
  <si>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</si>
  <si>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</si>
  <si>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</si>
  <si>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</si>
  <si>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</si>
  <si>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</si>
  <si>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</si>
  <si>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</si>
  <si>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</si>
  <si>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</si>
  <si>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</si>
  <si>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</si>
  <si>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</si>
  <si>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</si>
  <si>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</si>
  <si>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</si>
  <si>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</si>
  <si>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</si>
  <si>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</si>
  <si>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</si>
  <si>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</si>
  <si>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</si>
  <si>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</si>
  <si>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</si>
  <si>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</si>
  <si>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</si>
  <si>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</si>
  <si>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</si>
  <si>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</si>
  <si>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</si>
  <si>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</si>
  <si>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</si>
  <si>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</si>
  <si>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</si>
  <si>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</si>
  <si>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</si>
  <si>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</si>
  <si>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</si>
  <si>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</si>
  <si>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</si>
  <si>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</si>
  <si>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</si>
  <si>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</si>
  <si>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</si>
  <si>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</si>
  <si>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</si>
  <si>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</si>
  <si>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</si>
  <si>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</si>
  <si>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</si>
  <si>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</si>
  <si>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</si>
  <si>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</si>
  <si>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</si>
  <si>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</si>
  <si>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</si>
  <si>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</si>
  <si>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</si>
  <si>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</si>
  <si>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</si>
  <si>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</si>
  <si>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</si>
  <si>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</si>
  <si>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</si>
  <si>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</si>
  <si>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</si>
  <si>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</si>
  <si>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</si>
  <si>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</si>
  <si>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</si>
  <si>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</si>
  <si>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</si>
  <si>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</si>
  <si>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</si>
  <si>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</si>
  <si>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</si>
  <si>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</si>
  <si>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</si>
  <si>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</si>
  <si>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</si>
  <si>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</si>
  <si>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</si>
  <si>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</si>
  <si>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</si>
  <si>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</si>
  <si>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</si>
  <si>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</si>
  <si>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</si>
  <si>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</si>
  <si>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</si>
  <si>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</si>
  <si>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</si>
  <si>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</si>
  <si>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</si>
  <si>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</si>
  <si>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</si>
  <si>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</si>
  <si>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</si>
  <si>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</si>
  <si>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</si>
  <si>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</si>
  <si>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</si>
  <si>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</si>
  <si>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</si>
  <si>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</si>
  <si>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</si>
  <si>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</si>
  <si>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</si>
  <si>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</si>
  <si>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</si>
  <si>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</si>
  <si>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</si>
  <si>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</si>
  <si>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</si>
  <si>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</si>
  <si>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</si>
  <si>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</si>
  <si>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</si>
  <si>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</si>
  <si>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</si>
  <si>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</si>
  <si>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</si>
  <si>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</si>
  <si>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</si>
  <si>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</si>
  <si>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</si>
  <si>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</si>
  <si>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</si>
  <si>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</si>
  <si>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</si>
  <si>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</si>
  <si>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</si>
  <si>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</si>
  <si>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</si>
  <si>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</si>
  <si>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</si>
  <si>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</si>
  <si>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</si>
  <si>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</si>
  <si>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</si>
  <si>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</si>
  <si>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</si>
  <si>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</si>
  <si>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</si>
  <si>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</si>
  <si>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</si>
  <si>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</si>
  <si>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</si>
  <si>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</si>
  <si>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</si>
  <si>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</si>
  <si>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</si>
  <si>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</si>
  <si>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</si>
  <si>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</si>
  <si>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</si>
  <si>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</si>
  <si>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</si>
  <si>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</si>
  <si>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</si>
  <si>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</si>
  <si>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</si>
  <si>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</si>
  <si>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</si>
  <si>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</si>
  <si>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</si>
  <si>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</si>
  <si>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</si>
  <si>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</si>
  <si>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</si>
  <si>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</si>
  <si>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</si>
  <si>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</si>
  <si>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</si>
  <si>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</si>
  <si>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</si>
  <si>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</si>
  <si>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</si>
  <si>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</si>
  <si>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</si>
  <si>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</si>
  <si>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</si>
  <si>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</si>
  <si>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</si>
  <si>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</si>
  <si>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</si>
  <si>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</si>
  <si>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</si>
  <si>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</si>
  <si>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</si>
  <si>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</si>
  <si>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</si>
  <si>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</si>
  <si>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</si>
  <si>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</si>
  <si>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</si>
  <si>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</si>
  <si>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</si>
  <si>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</si>
  <si>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</si>
  <si>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</si>
  <si>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</si>
  <si>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</si>
  <si>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</si>
  <si>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</si>
  <si>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</si>
  <si>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</si>
  <si>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</si>
  <si>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</si>
  <si>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</si>
  <si>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</si>
  <si>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</si>
  <si>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</si>
  <si>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</si>
  <si>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</si>
  <si>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</si>
  <si>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</si>
  <si>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</si>
  <si>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</si>
  <si>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</si>
  <si>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</si>
  <si>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</si>
  <si>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</si>
  <si>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</si>
  <si>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</si>
  <si>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</si>
  <si>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</si>
  <si>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</si>
  <si>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</si>
  <si>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</si>
  <si>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</si>
  <si>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</si>
  <si>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</si>
  <si>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</si>
  <si>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</si>
  <si>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</si>
  <si>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</si>
  <si>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</si>
  <si>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</si>
  <si>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</si>
  <si>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</si>
  <si>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</si>
  <si>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</si>
  <si>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</si>
  <si>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</si>
  <si>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</si>
  <si>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</si>
  <si>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</si>
  <si>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</si>
  <si>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</si>
  <si>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</si>
  <si>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</si>
  <si>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</si>
  <si>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</si>
  <si>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</si>
  <si>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</si>
  <si>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</si>
  <si>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</si>
  <si>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</si>
  <si>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</si>
  <si>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</si>
  <si>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</si>
  <si>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</si>
  <si>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</si>
  <si>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</si>
  <si>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</si>
  <si>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</si>
  <si>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</si>
  <si>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</si>
  <si>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</si>
  <si>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</si>
  <si>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</si>
  <si>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</si>
  <si>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</si>
  <si>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</si>
  <si>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</si>
  <si>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</si>
  <si>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</si>
  <si>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</si>
  <si>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</si>
  <si>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</si>
  <si>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</si>
  <si>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</si>
  <si>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</si>
  <si>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</si>
  <si>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</si>
  <si>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</si>
  <si>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</si>
  <si>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</si>
  <si>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</si>
  <si>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</si>
  <si>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</si>
  <si>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</si>
  <si>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</si>
  <si>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</si>
  <si>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</si>
  <si>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</si>
  <si>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</si>
  <si>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</si>
  <si>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</si>
  <si>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</si>
  <si>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</si>
  <si>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</si>
  <si>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</si>
  <si>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</si>
  <si>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</si>
  <si>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</si>
  <si>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</si>
  <si>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</si>
  <si>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</si>
  <si>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</si>
  <si>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</si>
  <si>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</si>
  <si>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</si>
  <si>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</si>
  <si>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</si>
  <si>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</si>
  <si>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</si>
  <si>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</si>
  <si>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</si>
  <si>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</si>
  <si>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</si>
  <si>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</si>
  <si>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</si>
  <si>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</si>
  <si>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</si>
  <si>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</si>
  <si>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</si>
  <si>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</si>
  <si>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</si>
  <si>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</si>
  <si>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</si>
  <si>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</si>
  <si>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</si>
  <si>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</si>
  <si>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</si>
  <si>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</si>
  <si>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</si>
  <si>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</si>
  <si>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</si>
  <si>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</si>
  <si>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</si>
  <si>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</si>
  <si>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</si>
  <si>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</si>
  <si>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</si>
  <si>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</si>
  <si>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</si>
  <si>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</si>
  <si>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</si>
  <si>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</si>
  <si>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</si>
  <si>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</si>
  <si>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</si>
  <si>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</si>
  <si>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</si>
  <si>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</si>
  <si>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</si>
  <si>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</si>
  <si>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</si>
  <si>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</si>
  <si>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</si>
  <si>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</si>
  <si>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</si>
  <si>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</si>
  <si>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</si>
  <si>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</si>
  <si>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</si>
  <si>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</si>
  <si>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</si>
  <si>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</si>
  <si>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</si>
  <si>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</si>
  <si>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</si>
  <si>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</si>
  <si>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</si>
  <si>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</si>
  <si>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</si>
  <si>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</si>
  <si>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</si>
  <si>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</si>
  <si>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</si>
  <si>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</si>
  <si>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</si>
  <si>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</si>
  <si>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</si>
  <si>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</si>
  <si>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</si>
  <si>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</si>
  <si>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</si>
  <si>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</si>
  <si>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</si>
  <si>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</si>
  <si>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</si>
  <si>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</si>
  <si>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</si>
  <si>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</si>
  <si>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</si>
  <si>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</si>
  <si>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</si>
  <si>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</si>
  <si>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</si>
  <si>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</si>
  <si>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</si>
  <si>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</si>
  <si>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</si>
  <si>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</si>
  <si>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</si>
  <si>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</si>
  <si>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</si>
  <si>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</si>
  <si>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</si>
  <si>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</si>
  <si>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</si>
  <si>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</si>
  <si>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</si>
  <si>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</si>
  <si>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</si>
  <si>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</si>
  <si>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</si>
  <si>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</si>
  <si>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</si>
  <si>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</si>
  <si>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</si>
  <si>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</si>
  <si>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</si>
  <si>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</si>
  <si>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</si>
  <si>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</si>
  <si>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</si>
  <si>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</si>
  <si>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</si>
  <si>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</si>
  <si>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</si>
  <si>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</si>
  <si>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</si>
  <si>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</si>
  <si>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</si>
  <si>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</si>
  <si>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</si>
  <si>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</si>
  <si>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</si>
  <si>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</si>
  <si>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</si>
  <si>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</si>
  <si>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</si>
  <si>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</si>
  <si>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</si>
  <si>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</si>
  <si>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</si>
  <si>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</si>
  <si>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</si>
  <si>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</si>
  <si>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</si>
  <si>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</si>
  <si>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</si>
  <si>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</si>
  <si>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</si>
  <si>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</si>
  <si>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</si>
  <si>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</si>
  <si>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</si>
  <si>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</si>
  <si>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</si>
  <si>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</si>
  <si>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</si>
  <si>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</si>
  <si>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</si>
  <si>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</si>
  <si>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</si>
  <si>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</si>
  <si>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</si>
  <si>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</si>
  <si>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</si>
  <si>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</si>
  <si>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</si>
  <si>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</si>
  <si>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</si>
  <si>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</si>
  <si>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</si>
  <si>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</si>
  <si>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</si>
  <si>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</si>
  <si>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</si>
  <si>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</si>
  <si>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</si>
  <si>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</si>
  <si>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</si>
  <si>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</si>
  <si>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</si>
  <si>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</si>
  <si>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</si>
  <si>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</si>
  <si>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</si>
  <si>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</si>
  <si>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</si>
  <si>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</si>
  <si>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</si>
  <si>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</si>
  <si>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</si>
  <si>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</si>
  <si>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</si>
  <si>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</si>
  <si>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</si>
  <si>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</si>
  <si>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</si>
  <si>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</si>
  <si>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</si>
  <si>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</si>
  <si>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</si>
  <si>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</si>
  <si>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</si>
  <si>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</si>
  <si>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</si>
  <si>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</si>
  <si>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</si>
  <si>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</si>
  <si>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</si>
  <si>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</si>
  <si>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</si>
  <si>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</si>
  <si>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</si>
  <si>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</si>
  <si>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</si>
  <si>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</si>
  <si>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</si>
  <si>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</si>
  <si>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</si>
  <si>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</si>
  <si>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</si>
  <si>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</si>
  <si>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</si>
  <si>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</si>
  <si>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</si>
  <si>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</si>
  <si>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</si>
  <si>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</si>
  <si>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</si>
  <si>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</si>
  <si>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</si>
  <si>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</si>
  <si>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</si>
  <si>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</si>
  <si>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</si>
  <si>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</si>
  <si>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</si>
  <si>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</si>
  <si>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</si>
  <si>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</si>
  <si>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</si>
  <si>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</si>
  <si>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</si>
  <si>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</si>
  <si>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</si>
  <si>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</si>
  <si>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</si>
  <si>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</si>
  <si>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</si>
  <si>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</si>
  <si>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</si>
  <si>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</si>
  <si>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</si>
  <si>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</si>
  <si>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</si>
  <si>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</si>
  <si>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</si>
  <si>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</si>
  <si>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</si>
  <si>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</si>
  <si>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</si>
  <si>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</si>
  <si>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</si>
  <si>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</si>
  <si>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</si>
  <si>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</si>
  <si>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</si>
  <si>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</si>
  <si>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</si>
  <si>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</si>
  <si>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</si>
  <si>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</si>
  <si>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</si>
  <si>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</si>
  <si>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</si>
  <si>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</si>
  <si>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</si>
  <si>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</si>
  <si>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</si>
  <si>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</si>
  <si>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</si>
  <si>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</si>
  <si>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</si>
  <si>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</si>
  <si>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</si>
  <si>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</si>
  <si>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</si>
  <si>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</si>
  <si>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</si>
  <si>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</si>
  <si>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</si>
  <si>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</si>
  <si>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</si>
  <si>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</si>
  <si>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</si>
  <si>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</si>
  <si>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</si>
  <si>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</si>
  <si>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</si>
  <si>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</si>
  <si>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</si>
  <si>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</si>
  <si>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</si>
  <si>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</si>
  <si>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</si>
  <si>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</si>
  <si>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</si>
  <si>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</si>
  <si>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</si>
  <si>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</si>
  <si>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</si>
  <si>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</si>
  <si>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</si>
  <si>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</si>
  <si>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</si>
  <si>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</si>
  <si>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</si>
  <si>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</si>
  <si>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</si>
  <si>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</si>
  <si>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</si>
  <si>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</si>
  <si>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</si>
  <si>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</si>
  <si>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</si>
  <si>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</si>
  <si>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</si>
  <si>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</si>
  <si>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</si>
  <si>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</si>
  <si>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</si>
  <si>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</si>
  <si>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</si>
  <si>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</si>
  <si>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</si>
  <si>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</si>
  <si>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</si>
  <si>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</si>
  <si>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</si>
  <si>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</si>
  <si>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</si>
  <si>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</si>
  <si>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</si>
  <si>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</si>
  <si>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</si>
  <si>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</si>
  <si>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</si>
  <si>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</si>
  <si>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</si>
  <si>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</si>
  <si>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</si>
  <si>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</si>
  <si>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</si>
  <si>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</si>
  <si>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</si>
  <si>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</si>
  <si>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</si>
  <si>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</si>
  <si>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</si>
  <si>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</si>
  <si>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</si>
  <si>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</si>
  <si>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</si>
  <si>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</si>
  <si>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</si>
  <si>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</si>
  <si>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</si>
  <si>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</si>
  <si>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</si>
  <si>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</si>
  <si>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</si>
  <si>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</si>
  <si>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</si>
  <si>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</si>
  <si>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</si>
  <si>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</si>
  <si>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</si>
  <si>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</si>
  <si>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</si>
  <si>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</si>
  <si>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</si>
  <si>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</si>
  <si>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</si>
  <si>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</si>
  <si>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</si>
  <si>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</si>
  <si>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</si>
  <si>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</si>
  <si>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</si>
  <si>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</si>
  <si>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</si>
  <si>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</si>
  <si>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</si>
  <si>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</si>
  <si>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</si>
  <si>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</si>
  <si>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</si>
  <si>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</si>
  <si>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</si>
  <si>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</si>
  <si>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</si>
  <si>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</si>
  <si>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</si>
  <si>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</si>
  <si>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</si>
  <si>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</si>
  <si>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</si>
  <si>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</si>
  <si>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</si>
  <si>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</si>
  <si>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</si>
  <si>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</si>
  <si>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</si>
  <si>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</si>
  <si>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</si>
  <si>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</si>
  <si>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</si>
  <si>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</si>
  <si>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</si>
  <si>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</si>
  <si>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</si>
  <si>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</si>
  <si>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</si>
  <si>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</si>
  <si>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</si>
  <si>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</si>
  <si>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</si>
  <si>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</si>
  <si>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</si>
  <si>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</si>
  <si>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</si>
  <si>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</si>
  <si>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</si>
  <si>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</si>
  <si>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</si>
  <si>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</si>
  <si>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</si>
  <si>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</si>
  <si>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</si>
  <si>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</si>
  <si>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</si>
  <si>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</si>
  <si>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</si>
  <si>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</si>
  <si>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</si>
  <si>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</si>
  <si>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</si>
  <si>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</si>
  <si>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</si>
  <si>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</si>
  <si>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</si>
  <si>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</si>
  <si>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</si>
  <si>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</si>
  <si>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</si>
  <si>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</si>
  <si>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</si>
  <si>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</si>
  <si>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</si>
  <si>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</si>
  <si>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</si>
  <si>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</si>
  <si>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</si>
  <si>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</si>
  <si>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</si>
  <si>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</si>
  <si>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</si>
  <si>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</si>
  <si>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</si>
  <si>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</si>
  <si>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</si>
  <si>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</si>
  <si>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</si>
  <si>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</si>
  <si>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</si>
  <si>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</si>
  <si>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</si>
  <si>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</si>
  <si>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</si>
  <si>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</si>
  <si>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</si>
  <si>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</si>
  <si>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</si>
  <si>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</si>
  <si>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</si>
  <si>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</si>
  <si>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</si>
  <si>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</si>
  <si>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</si>
  <si>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</si>
  <si>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</si>
  <si>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</si>
  <si>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</si>
  <si>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</si>
  <si>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</si>
  <si>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</si>
  <si>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</si>
  <si>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</si>
  <si>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</si>
  <si>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</si>
  <si>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</si>
  <si>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</si>
  <si>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</si>
  <si>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</si>
  <si>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</si>
  <si>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</si>
  <si>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</si>
  <si>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</si>
  <si>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</si>
  <si>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</si>
  <si>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</si>
  <si>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</si>
  <si>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</si>
  <si>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</si>
  <si>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</si>
  <si>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</si>
  <si>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</si>
  <si>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</si>
  <si>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</si>
  <si>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</si>
  <si>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</si>
  <si>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</si>
  <si>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</si>
  <si>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</si>
  <si>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</si>
  <si>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</si>
  <si>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</si>
  <si>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</si>
  <si>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</si>
  <si>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</si>
  <si>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</si>
  <si>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</si>
  <si>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</si>
  <si>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</si>
  <si>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</si>
  <si>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</si>
  <si>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</si>
  <si>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</si>
  <si>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</si>
  <si>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</si>
  <si>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</si>
  <si>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</si>
  <si>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</si>
  <si>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</si>
  <si>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</si>
  <si>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</si>
  <si>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</si>
  <si>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</si>
  <si>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</si>
  <si>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</si>
  <si>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</si>
  <si>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</si>
  <si>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</si>
  <si>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</si>
  <si>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</si>
  <si>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</si>
  <si>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</si>
  <si>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</si>
  <si>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</si>
  <si>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</si>
  <si>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</si>
  <si>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</si>
  <si>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</si>
  <si>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</si>
  <si>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</si>
  <si>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</si>
  <si>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</si>
  <si>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</si>
  <si>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</si>
  <si>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</si>
  <si>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</si>
  <si>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</si>
  <si>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</si>
  <si>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</si>
  <si>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</si>
  <si>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</si>
  <si>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</si>
  <si>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</si>
  <si>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</si>
  <si>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</si>
  <si>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</si>
  <si>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</si>
  <si>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</si>
  <si>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</si>
  <si>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</si>
  <si>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</si>
  <si>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</si>
  <si>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</si>
  <si>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</si>
  <si>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</si>
  <si>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</si>
  <si>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</si>
  <si>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</si>
  <si>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</si>
  <si>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</si>
  <si>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</si>
  <si>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</si>
  <si>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</si>
  <si>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</si>
  <si>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</si>
  <si>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</si>
  <si>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</si>
  <si>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</si>
  <si>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</si>
  <si>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</si>
  <si>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</si>
  <si>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</si>
  <si>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</si>
  <si>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</si>
  <si>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</si>
  <si>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</si>
  <si>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</si>
  <si>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</si>
  <si>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</si>
  <si>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</si>
  <si>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</si>
  <si>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</si>
  <si>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</si>
  <si>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</si>
  <si>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</si>
  <si>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</si>
  <si>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</si>
  <si>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</si>
  <si>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</si>
  <si>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</si>
  <si>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</si>
  <si>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</si>
  <si>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</si>
  <si>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</si>
  <si>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</si>
  <si>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</si>
  <si>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</si>
  <si>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</si>
  <si>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</si>
  <si>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</si>
  <si>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</si>
  <si>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</si>
  <si>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</si>
  <si>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</si>
  <si>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</si>
  <si>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</si>
  <si>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</si>
  <si>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</si>
  <si>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</si>
  <si>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</si>
  <si>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</si>
  <si>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</si>
  <si>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</si>
  <si>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</si>
  <si>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</si>
  <si>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</si>
  <si>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</si>
  <si>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</si>
  <si>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</si>
  <si>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</si>
  <si>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</si>
  <si>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</si>
  <si>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</si>
  <si>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</si>
  <si>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</si>
  <si>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</si>
  <si>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</si>
  <si>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</si>
  <si>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</si>
  <si>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</si>
  <si>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</si>
  <si>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</si>
  <si>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</si>
  <si>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</si>
  <si>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</si>
  <si>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</si>
  <si>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</si>
  <si>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</si>
  <si>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</si>
  <si>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</si>
  <si>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</si>
  <si>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</si>
  <si>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</si>
  <si>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</si>
  <si>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</si>
  <si>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</si>
  <si>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</si>
  <si>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</si>
  <si>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</si>
  <si>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</si>
  <si>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</si>
  <si>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</si>
  <si>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</si>
  <si>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</si>
  <si>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</si>
  <si>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</si>
  <si>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</si>
  <si>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</si>
  <si>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</si>
  <si>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</si>
  <si>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</si>
  <si>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</si>
  <si>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</si>
  <si>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</si>
  <si>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</si>
  <si>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</si>
  <si>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</si>
  <si>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</si>
  <si>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</si>
  <si>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</si>
  <si>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</si>
  <si>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</si>
  <si>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</si>
  <si>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</si>
  <si>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</si>
  <si>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</si>
  <si>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</si>
  <si>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</si>
  <si>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</si>
  <si>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</si>
  <si>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</si>
  <si>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</si>
  <si>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</si>
  <si>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</si>
  <si>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</si>
  <si>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</si>
  <si>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</si>
  <si>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</si>
  <si>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</si>
  <si>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</si>
  <si>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</si>
  <si>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</si>
  <si>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</si>
  <si>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</si>
  <si>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</si>
  <si>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</si>
  <si>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</si>
  <si>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</si>
  <si>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</si>
  <si>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</si>
  <si>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</si>
  <si>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</si>
  <si>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</si>
  <si>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</si>
  <si>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</si>
  <si>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</si>
  <si>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</si>
  <si>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</si>
  <si>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</si>
  <si>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</si>
  <si>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</si>
  <si>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</si>
  <si>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</si>
  <si>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</si>
  <si>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</si>
  <si>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</si>
  <si>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</si>
  <si>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</si>
  <si>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</si>
  <si>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</si>
  <si>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</si>
  <si>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</si>
  <si>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</si>
  <si>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</si>
  <si>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</si>
  <si>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</si>
  <si>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</si>
  <si>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</si>
  <si>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</si>
  <si>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</si>
  <si>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</si>
  <si>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</si>
  <si>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</si>
  <si>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</si>
  <si>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</si>
  <si>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</si>
  <si>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</si>
  <si>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</si>
  <si>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</si>
  <si>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</si>
  <si>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</si>
  <si>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</si>
  <si>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</si>
  <si>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</si>
  <si>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</si>
  <si>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</si>
  <si>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</si>
  <si>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</si>
  <si>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</si>
  <si>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</si>
  <si>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</si>
  <si>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</si>
  <si>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</si>
  <si>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</si>
  <si>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</si>
  <si>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</si>
  <si>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</si>
  <si>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</si>
  <si>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</si>
  <si>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</si>
  <si>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</si>
  <si>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</si>
  <si>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</si>
  <si>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</si>
  <si>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</si>
  <si>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</si>
  <si>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</si>
  <si>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</si>
  <si>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</si>
  <si>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</si>
  <si>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</si>
  <si>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</si>
  <si>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</si>
  <si>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</si>
  <si>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</si>
  <si>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</si>
  <si>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</si>
  <si>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</si>
  <si>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</si>
  <si>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</si>
  <si>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</si>
  <si>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</si>
  <si>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</si>
  <si>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</si>
  <si>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</si>
  <si>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</si>
  <si>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</si>
  <si>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</si>
  <si>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</si>
  <si>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</si>
  <si>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</si>
  <si>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</si>
  <si>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</si>
  <si>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</si>
  <si>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</si>
  <si>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</si>
  <si>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</si>
  <si>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</si>
  <si>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</si>
  <si>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</si>
  <si>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</si>
  <si>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</si>
  <si>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</si>
  <si>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</si>
  <si>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</si>
  <si>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</si>
  <si>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</si>
  <si>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</si>
  <si>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</si>
  <si>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</si>
  <si>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</si>
  <si>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</si>
  <si>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</si>
  <si>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</si>
  <si>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</si>
  <si>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</si>
  <si>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</si>
  <si>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</si>
  <si>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</si>
  <si>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</si>
  <si>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</si>
  <si>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</si>
  <si>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</si>
  <si>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</si>
  <si>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</si>
  <si>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</si>
  <si>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</si>
  <si>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</si>
  <si>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</si>
  <si>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</si>
  <si>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</si>
  <si>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</si>
  <si>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</si>
  <si>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</si>
  <si>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</si>
  <si>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</si>
  <si>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</si>
  <si>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</si>
  <si>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</si>
  <si>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</si>
  <si>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</si>
  <si>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</si>
  <si>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</si>
  <si>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</si>
  <si>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</si>
  <si>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</si>
  <si>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</si>
  <si>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</si>
  <si>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</si>
  <si>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</si>
  <si>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</si>
  <si>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</si>
  <si>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</si>
  <si>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</si>
  <si>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</si>
  <si>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</si>
  <si>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</si>
  <si>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</si>
  <si>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</si>
  <si>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</si>
  <si>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</si>
  <si>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</si>
  <si>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</si>
  <si>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</si>
  <si>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</si>
  <si>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</si>
  <si>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</si>
  <si>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</si>
  <si>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</si>
  <si>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</si>
  <si>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</si>
  <si>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</si>
  <si>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</si>
  <si>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</si>
  <si>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</si>
  <si>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</si>
  <si>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</si>
  <si>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</si>
  <si>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</si>
  <si>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</si>
  <si>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</si>
  <si>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</si>
  <si>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</si>
  <si>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</si>
  <si>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</si>
  <si>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</si>
  <si>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</si>
  <si>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</si>
  <si>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</si>
  <si>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</si>
  <si>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</si>
  <si>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</si>
  <si>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</si>
  <si>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</si>
  <si>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</si>
  <si>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</si>
  <si>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</si>
  <si>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</si>
  <si>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</si>
  <si>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</si>
  <si>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</si>
  <si>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</si>
  <si>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</si>
  <si>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</si>
  <si>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</si>
  <si>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</si>
  <si>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</si>
  <si>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</si>
  <si>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</si>
  <si>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</si>
  <si>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</si>
  <si>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</si>
  <si>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</si>
  <si>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</si>
  <si>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</si>
  <si>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</si>
  <si>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</si>
  <si>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</si>
  <si>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</si>
  <si>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</si>
  <si>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</si>
  <si>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</si>
  <si>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</si>
  <si>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</si>
  <si>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</si>
  <si>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</si>
  <si>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</si>
  <si>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</si>
  <si>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</si>
  <si>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</si>
  <si>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</si>
  <si>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</si>
  <si>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</si>
  <si>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</si>
  <si>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</si>
  <si>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</si>
  <si>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</si>
  <si>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</si>
  <si>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</si>
  <si>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</si>
  <si>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</si>
  <si>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</si>
  <si>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</si>
  <si>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</si>
  <si>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</si>
  <si>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</si>
  <si>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</si>
  <si>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</si>
  <si>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</si>
  <si>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</si>
  <si>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</si>
  <si>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</si>
  <si>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</si>
  <si>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</si>
  <si>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</si>
  <si>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</si>
  <si>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</si>
  <si>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</si>
  <si>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</si>
  <si>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</si>
  <si>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</si>
  <si>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</si>
  <si>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</si>
  <si>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</si>
  <si>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</si>
  <si>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</si>
  <si>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</si>
  <si>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</si>
  <si>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</si>
  <si>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</si>
  <si>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</si>
  <si>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</si>
  <si>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</si>
  <si>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</si>
  <si>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</si>
  <si>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</si>
  <si>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</si>
  <si>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</si>
  <si>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</si>
  <si>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</si>
  <si>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</si>
  <si>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</si>
  <si>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</si>
  <si>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</si>
  <si>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</si>
  <si>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</si>
  <si>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</si>
  <si>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</si>
  <si>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</si>
  <si>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</si>
  <si>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</si>
  <si>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</si>
  <si>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</si>
  <si>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</si>
  <si>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</si>
  <si>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</si>
  <si>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</si>
  <si>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</si>
  <si>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</si>
  <si>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</si>
  <si>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</si>
  <si>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</si>
  <si>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</si>
  <si>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</si>
  <si>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</si>
  <si>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</si>
  <si>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</si>
  <si>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</si>
  <si>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</si>
  <si>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</si>
  <si>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</si>
  <si>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</si>
  <si>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</si>
  <si>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</si>
  <si>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</si>
  <si>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</si>
  <si>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</si>
  <si>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</si>
  <si>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</si>
  <si>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</si>
  <si>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</si>
  <si>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</si>
  <si>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</si>
  <si>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</si>
  <si>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</si>
  <si>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</si>
  <si>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</si>
  <si>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</si>
  <si>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</si>
  <si>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</si>
  <si>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</si>
  <si>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</si>
  <si>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</si>
  <si>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</si>
  <si>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</si>
  <si>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</si>
  <si>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</si>
  <si>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</si>
  <si>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</si>
  <si>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</si>
  <si>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</si>
  <si>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</si>
  <si>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</si>
  <si>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</si>
  <si>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</si>
  <si>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</si>
  <si>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</si>
  <si>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</si>
  <si>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</si>
  <si>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</si>
  <si>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</si>
  <si>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</si>
  <si>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</si>
  <si>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</si>
  <si>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</si>
  <si>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</si>
  <si>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</si>
  <si>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</si>
  <si>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</si>
  <si>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</si>
  <si>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</si>
  <si>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</si>
  <si>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</si>
  <si>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</si>
  <si>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</si>
  <si>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</si>
  <si>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</si>
  <si>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</si>
  <si>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</si>
  <si>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</si>
  <si>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</si>
  <si>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</si>
  <si>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</si>
  <si>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</si>
  <si>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</si>
  <si>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</si>
  <si>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</si>
  <si>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</si>
  <si>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</si>
  <si>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</si>
  <si>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</si>
  <si>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</si>
  <si>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</si>
  <si>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</si>
  <si>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</si>
  <si>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</si>
  <si>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</si>
  <si>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</si>
  <si>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</si>
  <si>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</si>
  <si>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</si>
  <si>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</si>
  <si>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</si>
  <si>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</si>
  <si>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</si>
  <si>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</si>
  <si>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</si>
  <si>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</si>
  <si>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</si>
  <si>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</si>
  <si>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</si>
  <si>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</si>
  <si>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</si>
  <si>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</si>
  <si>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</si>
  <si>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</si>
  <si>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</si>
  <si>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</si>
  <si>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</si>
  <si>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</si>
  <si>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</si>
  <si>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</si>
  <si>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</si>
  <si>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</si>
  <si>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</si>
  <si>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</si>
  <si>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</si>
  <si>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</si>
  <si>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</si>
  <si>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</si>
  <si>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</si>
  <si>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</si>
  <si>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</si>
  <si>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</si>
  <si>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</si>
  <si>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</si>
  <si>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</si>
  <si>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</si>
  <si>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</si>
  <si>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</si>
  <si>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</si>
  <si>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</si>
  <si>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</si>
  <si>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</si>
  <si>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</si>
  <si>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</si>
  <si>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</si>
  <si>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</si>
  <si>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</si>
  <si>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</si>
  <si>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</si>
  <si>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</si>
  <si>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</si>
  <si>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</si>
  <si>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</si>
  <si>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</si>
  <si>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</si>
  <si>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</si>
  <si>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</si>
  <si>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</si>
  <si>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</si>
  <si>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</si>
  <si>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</si>
  <si>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</si>
  <si>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</si>
  <si>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</si>
  <si>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</si>
  <si>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</si>
  <si>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</si>
  <si>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</si>
  <si>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</si>
  <si>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</si>
  <si>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</si>
  <si>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</si>
  <si>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</si>
  <si>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</si>
  <si>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</si>
  <si>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</si>
  <si>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</si>
  <si>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</si>
  <si>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</si>
  <si>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</si>
  <si>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</si>
  <si>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</si>
  <si>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</si>
  <si>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</si>
  <si>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</si>
  <si>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</si>
  <si>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</si>
  <si>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</si>
  <si>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</si>
  <si>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</si>
  <si>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</si>
  <si>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</si>
  <si>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</si>
  <si>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</si>
  <si>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</si>
  <si>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</si>
  <si>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</si>
  <si>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</si>
  <si>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</si>
  <si>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</si>
  <si>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</si>
  <si>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</si>
  <si>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</si>
  <si>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</si>
  <si>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</si>
  <si>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</si>
  <si>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</si>
  <si>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</si>
  <si>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</si>
  <si>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</si>
  <si>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</si>
  <si>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</si>
  <si>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</si>
  <si>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</si>
  <si>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</si>
  <si>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</si>
  <si>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</si>
  <si>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</si>
  <si>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</si>
  <si>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</si>
  <si>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</si>
  <si>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</si>
  <si>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</si>
  <si>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</si>
  <si>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</si>
  <si>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</si>
  <si>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</si>
  <si>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</si>
  <si>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</si>
  <si>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</si>
  <si>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</si>
  <si>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</si>
  <si>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</si>
  <si>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</si>
  <si>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</si>
  <si>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</si>
  <si>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</si>
  <si>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</si>
  <si>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</si>
  <si>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</si>
  <si>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</si>
  <si>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</si>
  <si>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</si>
  <si>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</si>
  <si>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</si>
  <si>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</si>
  <si>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</si>
  <si>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</si>
  <si>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</si>
  <si>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</si>
  <si>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</si>
  <si>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</si>
  <si>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</si>
  <si>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</si>
  <si>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</si>
  <si>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</si>
  <si>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</si>
  <si>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</si>
  <si>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</si>
  <si>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</si>
  <si>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</si>
  <si>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</si>
  <si>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</si>
  <si>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</si>
  <si>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</si>
  <si>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</si>
  <si>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</si>
  <si>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</si>
  <si>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</si>
  <si>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</si>
  <si>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</si>
  <si>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</si>
  <si>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</si>
  <si>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</si>
  <si>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</si>
  <si>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</si>
  <si>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</si>
  <si>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</si>
  <si>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</si>
  <si>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</si>
  <si>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</si>
  <si>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</si>
  <si>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</si>
  <si>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</si>
  <si>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</si>
  <si>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</si>
  <si>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</si>
  <si>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</si>
  <si>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</si>
  <si>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</si>
  <si>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</si>
  <si>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</si>
  <si>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</si>
  <si>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</si>
  <si>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</si>
  <si>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</si>
  <si>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</si>
  <si>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</si>
  <si>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</si>
  <si>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</si>
  <si>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</si>
  <si>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</si>
  <si>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</si>
  <si>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</si>
  <si>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</si>
  <si>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</si>
  <si>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</si>
  <si>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</si>
  <si>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</si>
  <si>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</si>
  <si>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</si>
  <si>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</si>
  <si>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</si>
  <si>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</si>
  <si>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</si>
  <si>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</si>
  <si>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</si>
  <si>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</si>
  <si>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</si>
  <si>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</si>
  <si>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</si>
  <si>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</si>
  <si>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</si>
  <si>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</si>
  <si>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</si>
  <si>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</si>
  <si>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</si>
  <si>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</si>
  <si>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</si>
  <si>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</si>
  <si>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</si>
  <si>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</si>
  <si>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</si>
  <si>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</si>
  <si>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</si>
  <si>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</si>
  <si>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</si>
  <si>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</si>
  <si>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</si>
  <si>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</si>
  <si>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</si>
  <si>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</si>
  <si>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</si>
  <si>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</si>
  <si>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</si>
  <si>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</si>
  <si>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</si>
  <si>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</si>
  <si>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</si>
  <si>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</si>
  <si>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</si>
  <si>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</si>
  <si>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</si>
  <si>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</si>
  <si>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</si>
  <si>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</si>
  <si>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</si>
  <si>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</si>
  <si>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</si>
  <si>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</si>
  <si>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</si>
  <si>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</si>
  <si>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</si>
  <si>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</si>
  <si>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</si>
  <si>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</si>
  <si>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</si>
  <si>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</si>
  <si>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</si>
  <si>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</si>
  <si>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</si>
  <si>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</si>
  <si>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</si>
  <si>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</si>
  <si>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</si>
  <si>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</si>
  <si>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</si>
  <si>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</si>
  <si>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</si>
  <si>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</si>
  <si>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</si>
  <si>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</si>
  <si>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</si>
  <si>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</si>
  <si>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</si>
  <si>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</si>
  <si>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</si>
  <si>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</si>
  <si>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</si>
  <si>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</si>
  <si>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</si>
  <si>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</si>
  <si>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</si>
  <si>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</si>
  <si>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</si>
  <si>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</si>
  <si>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</si>
  <si>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</si>
  <si>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</si>
  <si>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</si>
  <si>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</si>
  <si>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</si>
  <si>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</si>
  <si>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</si>
  <si>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</si>
  <si>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</si>
  <si>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</si>
  <si>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</si>
  <si>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</si>
  <si>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</si>
  <si>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</si>
  <si>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</si>
  <si>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</si>
  <si>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</si>
  <si>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</si>
  <si>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</si>
  <si>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</si>
  <si>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</si>
  <si>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</si>
  <si>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</si>
  <si>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</si>
  <si>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</si>
  <si>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</si>
  <si>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</si>
  <si>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</si>
  <si>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</si>
  <si>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</si>
  <si>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</si>
  <si>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</si>
  <si>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</si>
  <si>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</si>
  <si>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</si>
  <si>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</si>
  <si>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</si>
  <si>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</si>
  <si>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</si>
  <si>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</si>
  <si>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</si>
  <si>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</si>
  <si>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</si>
  <si>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</si>
  <si>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</si>
  <si>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</si>
  <si>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</si>
  <si>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</si>
  <si>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</si>
  <si>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</si>
  <si>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</si>
  <si>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</si>
  <si>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</si>
  <si>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</si>
  <si>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</si>
  <si>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</si>
  <si>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</si>
  <si>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</si>
  <si>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</si>
  <si>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</si>
  <si>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</si>
  <si>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</si>
  <si>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</si>
  <si>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</si>
  <si>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</si>
  <si>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</si>
  <si>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</si>
  <si>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</si>
  <si>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</si>
  <si>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</si>
  <si>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</si>
  <si>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</si>
  <si>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</si>
  <si>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</si>
  <si>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</si>
  <si>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</si>
  <si>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</si>
  <si>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</si>
  <si>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</si>
  <si>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</si>
  <si>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</si>
  <si>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</si>
  <si>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</si>
  <si>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</si>
  <si>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</si>
  <si>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</si>
  <si>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</si>
  <si>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</si>
  <si>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</si>
  <si>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</si>
  <si>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</si>
  <si>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</si>
  <si>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</si>
  <si>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</si>
  <si>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</si>
  <si>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</si>
  <si>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</si>
  <si>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</si>
  <si>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</si>
  <si>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</si>
  <si>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</si>
  <si>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</si>
  <si>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</si>
  <si>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</si>
  <si>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</si>
  <si>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</si>
  <si>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</si>
  <si>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</si>
  <si>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</si>
  <si>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</si>
  <si>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</si>
  <si>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</si>
  <si>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</si>
  <si>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</si>
  <si>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</si>
  <si>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</si>
  <si>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</si>
  <si>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</si>
  <si>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</si>
  <si>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</si>
  <si>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</si>
  <si>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</si>
  <si>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</si>
  <si>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</si>
  <si>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</si>
  <si>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</si>
  <si>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</si>
  <si>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</si>
  <si>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</si>
  <si>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</si>
  <si>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</si>
  <si>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</si>
  <si>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</si>
  <si>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</si>
  <si>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</si>
  <si>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</si>
  <si>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</si>
  <si>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</si>
  <si>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</si>
  <si>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</si>
  <si>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</si>
  <si>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</si>
  <si>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</si>
  <si>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</si>
  <si>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</si>
  <si>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</si>
  <si>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</si>
  <si>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</si>
  <si>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</si>
  <si>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</si>
  <si>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</si>
  <si>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</si>
  <si>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</si>
  <si>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</si>
  <si>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</si>
  <si>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</si>
  <si>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</si>
  <si>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</si>
  <si>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</si>
  <si>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</si>
  <si>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</si>
  <si>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</si>
  <si>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</si>
  <si>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</si>
  <si>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</si>
  <si>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</si>
  <si>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</si>
  <si>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</si>
  <si>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</si>
  <si>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</si>
  <si>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</si>
  <si>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</si>
  <si>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</si>
  <si>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</si>
  <si>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</si>
  <si>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</si>
  <si>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</si>
  <si>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</si>
  <si>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</si>
  <si>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</si>
  <si>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</si>
  <si>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</si>
  <si>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</si>
  <si>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</si>
  <si>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</si>
  <si>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</si>
  <si>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</si>
  <si>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</si>
  <si>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</si>
  <si>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</si>
  <si>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</si>
  <si>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</si>
  <si>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</si>
  <si>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</si>
  <si>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</si>
  <si>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</si>
  <si>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</si>
  <si>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</si>
  <si>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</si>
  <si>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</si>
  <si>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</si>
  <si>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</si>
  <si>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</si>
  <si>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</si>
  <si>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</si>
  <si>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</si>
  <si>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</si>
  <si>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</si>
  <si>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</si>
  <si>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</si>
  <si>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</si>
  <si>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</si>
  <si>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</si>
  <si>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</si>
  <si>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</si>
  <si>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</si>
  <si>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</si>
  <si>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</si>
  <si>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</si>
  <si>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</si>
  <si>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</si>
  <si>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</si>
  <si>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</si>
  <si>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</si>
  <si>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</si>
  <si>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</si>
  <si>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</si>
  <si>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</si>
  <si>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</si>
  <si>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</si>
  <si>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</si>
  <si>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</si>
  <si>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</si>
  <si>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</si>
  <si>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</si>
  <si>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</si>
  <si>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</si>
  <si>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</si>
  <si>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</si>
  <si>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</si>
  <si>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</si>
  <si>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</si>
  <si>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</si>
  <si>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</si>
  <si>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</si>
  <si>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</si>
  <si>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</si>
  <si>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</si>
  <si>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</si>
  <si>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</si>
  <si>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</si>
  <si>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</si>
  <si>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</si>
  <si>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</si>
  <si>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</si>
  <si>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</si>
  <si>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</si>
  <si>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</si>
  <si>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</si>
  <si>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</si>
  <si>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</si>
  <si>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</si>
  <si>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</si>
  <si>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</si>
  <si>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</si>
  <si>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</si>
  <si>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</si>
  <si>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</si>
  <si>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</si>
  <si>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</si>
  <si>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</si>
  <si>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</si>
  <si>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</si>
  <si>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</si>
  <si>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</si>
  <si>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</si>
  <si>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</si>
  <si>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</si>
  <si>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</si>
  <si>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</si>
  <si>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</si>
  <si>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</si>
  <si>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</si>
  <si>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</si>
  <si>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</si>
  <si>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</si>
  <si>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</si>
  <si>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</si>
  <si>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</si>
  <si>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</si>
  <si>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</si>
  <si>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</si>
  <si>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</si>
  <si>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</si>
  <si>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</si>
  <si>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</si>
  <si>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</si>
  <si>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</si>
  <si>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</si>
  <si>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</si>
  <si>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</si>
  <si>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</si>
  <si>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</si>
  <si>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</si>
  <si>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</si>
  <si>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</si>
  <si>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</si>
  <si>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</si>
  <si>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</si>
  <si>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</si>
  <si>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</si>
  <si>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</si>
  <si>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</si>
  <si>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</si>
  <si>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</si>
  <si>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</si>
  <si>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</si>
  <si>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</si>
  <si>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</si>
  <si>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</si>
  <si>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</si>
  <si>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</si>
  <si>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</si>
  <si>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</si>
  <si>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</si>
  <si>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</si>
  <si>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</si>
  <si>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</si>
  <si>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</si>
  <si>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</si>
  <si>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</si>
  <si>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</si>
  <si>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</si>
  <si>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</si>
  <si>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</si>
  <si>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</si>
  <si>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</si>
  <si>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</si>
  <si>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</si>
  <si>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</si>
  <si>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</si>
  <si>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</si>
  <si>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</si>
  <si>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</si>
  <si>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</si>
  <si>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</si>
  <si>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</si>
  <si>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</si>
  <si>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</si>
  <si>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</si>
  <si>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</si>
  <si>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</si>
  <si>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</si>
  <si>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</si>
  <si>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</si>
  <si>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</si>
  <si>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</si>
  <si>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</si>
  <si>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</si>
  <si>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</si>
  <si>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</si>
  <si>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</si>
  <si>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</si>
  <si>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</si>
  <si>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</si>
  <si>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</si>
  <si>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</si>
  <si>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</si>
  <si>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</si>
  <si>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</si>
  <si>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</si>
  <si>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</si>
  <si>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</si>
  <si>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</si>
  <si>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</si>
  <si>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</si>
  <si>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</si>
  <si>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</si>
  <si>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</si>
  <si>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</si>
  <si>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</si>
  <si>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</si>
  <si>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</si>
  <si>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</si>
  <si>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</si>
  <si>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</si>
  <si>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</si>
  <si>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</si>
  <si>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</si>
  <si>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</si>
  <si>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</si>
  <si>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</si>
  <si>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</si>
  <si>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</si>
  <si>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</si>
  <si>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</si>
  <si>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</si>
  <si>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</si>
  <si>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</si>
  <si>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</si>
  <si>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</si>
  <si>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</si>
  <si>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</si>
  <si>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</si>
  <si>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</si>
  <si>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</si>
  <si>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</si>
  <si>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</si>
  <si>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</si>
  <si>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</si>
  <si>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</si>
  <si>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</si>
  <si>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</si>
  <si>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</si>
  <si>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</si>
  <si>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</si>
  <si>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</si>
  <si>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</si>
  <si>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</si>
  <si>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</si>
  <si>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</si>
  <si>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</si>
  <si>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</si>
  <si>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</si>
  <si>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</si>
  <si>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</si>
  <si>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</si>
  <si>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</si>
  <si>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</si>
  <si>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</si>
  <si>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</si>
  <si>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</si>
  <si>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</si>
  <si>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</si>
  <si>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</si>
  <si>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</si>
  <si>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</si>
  <si>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</si>
  <si>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</si>
  <si>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</si>
  <si>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</si>
  <si>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</si>
  <si>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</si>
  <si>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</si>
  <si>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</si>
  <si>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</si>
  <si>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</si>
  <si>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</si>
  <si>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</si>
  <si>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</si>
  <si>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</si>
  <si>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</si>
  <si>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</si>
  <si>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</si>
  <si>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</si>
  <si>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</si>
  <si>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</si>
  <si>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</si>
  <si>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</si>
  <si>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</si>
  <si>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</si>
  <si>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</si>
  <si>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</si>
  <si>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</si>
  <si>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</si>
  <si>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</si>
  <si>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</si>
  <si>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</si>
  <si>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</si>
  <si>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</si>
  <si>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</si>
  <si>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</si>
  <si>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</si>
  <si>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</si>
  <si>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</si>
  <si>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</si>
  <si>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</si>
  <si>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</si>
  <si>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</si>
  <si>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</si>
  <si>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</si>
  <si>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</si>
  <si>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</si>
  <si>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</si>
  <si>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</si>
  <si>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</si>
  <si>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</si>
  <si>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</si>
  <si>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</si>
  <si>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</si>
  <si>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</si>
  <si>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</si>
  <si>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</si>
  <si>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</si>
  <si>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</si>
  <si>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</si>
  <si>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</si>
  <si>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</si>
  <si>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</si>
  <si>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</si>
  <si>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</si>
  <si>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</si>
  <si>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</si>
  <si>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</si>
  <si>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</si>
  <si>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</si>
  <si>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</si>
  <si>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</si>
  <si>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</si>
  <si>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</si>
  <si>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</si>
  <si>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</si>
  <si>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</si>
  <si>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</si>
  <si>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</si>
  <si>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</si>
  <si>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</si>
  <si>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</si>
  <si>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</si>
  <si>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</si>
  <si>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</si>
  <si>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</si>
  <si>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</si>
  <si>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</si>
  <si>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</si>
  <si>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</si>
  <si>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</si>
  <si>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</si>
  <si>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</si>
  <si>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</si>
  <si>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</si>
  <si>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</si>
  <si>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</si>
  <si>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</si>
  <si>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</si>
  <si>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</si>
  <si>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</si>
  <si>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</si>
  <si>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</si>
  <si>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</si>
  <si>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</si>
  <si>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</si>
  <si>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</si>
  <si>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</si>
  <si>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</si>
  <si>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</si>
  <si>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</si>
  <si>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</si>
  <si>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</si>
  <si>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</si>
  <si>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</si>
  <si>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</si>
  <si>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</si>
  <si>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</si>
  <si>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</si>
  <si>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</si>
  <si>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</si>
  <si>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</si>
  <si>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</si>
  <si>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</si>
  <si>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</si>
  <si>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</si>
  <si>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</si>
  <si>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</si>
  <si>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</si>
  <si>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</si>
  <si>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</si>
  <si>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</si>
  <si>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</si>
  <si>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</si>
  <si>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</si>
  <si>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</si>
  <si>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</si>
  <si>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</si>
  <si>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</si>
  <si>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</si>
  <si>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</si>
  <si>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</si>
  <si>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</si>
  <si>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</si>
  <si>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</si>
  <si>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</si>
  <si>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</si>
  <si>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</si>
  <si>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</si>
  <si>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</si>
  <si>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</si>
  <si>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</si>
  <si>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</si>
  <si>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</si>
  <si>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</si>
  <si>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</si>
  <si>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</si>
  <si>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</si>
  <si>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</si>
  <si>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</si>
  <si>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</si>
  <si>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</si>
  <si>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</si>
  <si>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</si>
  <si>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</si>
  <si>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</si>
  <si>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</si>
  <si>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</si>
  <si>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</si>
  <si>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</si>
  <si>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</si>
  <si>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</si>
  <si>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</si>
  <si>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</si>
  <si>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</si>
  <si>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</si>
  <si>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</si>
  <si>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</si>
  <si>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</si>
  <si>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</si>
  <si>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</si>
  <si>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</si>
  <si>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</si>
  <si>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</si>
  <si>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</si>
  <si>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</si>
  <si>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</si>
  <si>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</si>
  <si>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</si>
  <si>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</si>
  <si>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</si>
  <si>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</si>
  <si>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</si>
  <si>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</si>
  <si>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</si>
  <si>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</si>
  <si>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</si>
  <si>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</si>
  <si>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</si>
  <si>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</si>
  <si>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</si>
  <si>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</si>
  <si>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</si>
  <si>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</si>
  <si>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</si>
  <si>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</si>
  <si>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</si>
  <si>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</si>
  <si>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</si>
  <si>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</si>
  <si>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</si>
  <si>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</si>
  <si>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</si>
  <si>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</si>
  <si>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</si>
  <si>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</si>
  <si>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</si>
  <si>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</si>
  <si>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</si>
  <si>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</si>
  <si>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</si>
  <si>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</si>
  <si>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</si>
  <si>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</si>
  <si>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</si>
  <si>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</si>
  <si>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</si>
  <si>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</si>
  <si>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</si>
  <si>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</si>
  <si>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</si>
  <si>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</si>
  <si>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</si>
  <si>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</si>
  <si>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</si>
  <si>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</si>
  <si>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</si>
  <si>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</si>
  <si>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</si>
  <si>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</si>
  <si>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</si>
  <si>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</si>
  <si>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</si>
  <si>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</si>
  <si>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</si>
  <si>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</si>
  <si>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</si>
  <si>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</si>
  <si>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</si>
  <si>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</si>
  <si>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</si>
  <si>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</si>
  <si>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</si>
  <si>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</si>
  <si>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</si>
  <si>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</si>
  <si>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</si>
  <si>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</si>
  <si>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</si>
  <si>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</si>
  <si>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</si>
  <si>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</si>
  <si>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</si>
  <si>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</si>
  <si>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</si>
  <si>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</si>
  <si>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</si>
  <si>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</si>
  <si>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</si>
  <si>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</si>
  <si>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</si>
  <si>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</si>
  <si>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</si>
  <si>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</si>
  <si>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</si>
  <si>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</si>
  <si>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</si>
  <si>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</si>
  <si>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</si>
  <si>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</si>
  <si>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</si>
  <si>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</si>
  <si>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</si>
  <si>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</si>
  <si>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</si>
  <si>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</si>
  <si>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</si>
  <si>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</si>
  <si>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</si>
  <si>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</si>
  <si>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</si>
  <si>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</si>
  <si>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</si>
  <si>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</si>
  <si>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</si>
  <si>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</si>
  <si>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</si>
  <si>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</si>
  <si>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</si>
  <si>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</si>
  <si>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</si>
  <si>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</si>
  <si>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</si>
  <si>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</si>
  <si>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</si>
  <si>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</si>
  <si>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</si>
  <si>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</si>
  <si>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</si>
  <si>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</si>
  <si>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</si>
  <si>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</si>
  <si>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</si>
  <si>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</si>
  <si>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</si>
  <si>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</si>
  <si>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</si>
  <si>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</si>
  <si>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</si>
  <si>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</si>
  <si>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</si>
  <si>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</si>
  <si>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</si>
  <si>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</si>
  <si>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</si>
  <si>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</si>
  <si>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</si>
  <si>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</si>
  <si>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</si>
  <si>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</si>
  <si>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</si>
  <si>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</si>
  <si>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</si>
  <si>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</si>
  <si>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</si>
  <si>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</si>
  <si>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</si>
  <si>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</si>
  <si>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</si>
  <si>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</si>
  <si>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</si>
  <si>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</si>
  <si>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</si>
  <si>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</si>
  <si>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</si>
  <si>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</si>
  <si>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</si>
  <si>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</si>
  <si>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</si>
  <si>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</si>
  <si>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</si>
  <si>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</si>
  <si>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</si>
  <si>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</si>
  <si>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</si>
  <si>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</si>
  <si>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</si>
  <si>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</si>
  <si>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</si>
  <si>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</si>
  <si>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</si>
  <si>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</si>
  <si>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</si>
  <si>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</si>
  <si>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</si>
  <si>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</si>
  <si>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</si>
  <si>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</si>
  <si>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</si>
  <si>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</si>
  <si>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</si>
  <si>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</si>
  <si>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</si>
  <si>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</si>
  <si>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</si>
  <si>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</si>
  <si>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</si>
  <si>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</si>
  <si>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</si>
  <si>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</si>
  <si>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</si>
  <si>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</si>
  <si>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</si>
  <si>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</si>
  <si>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</si>
  <si>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</si>
  <si>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</si>
  <si>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</si>
  <si>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</si>
  <si>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</si>
  <si>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</si>
  <si>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</si>
  <si>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</si>
  <si>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</si>
  <si>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</si>
  <si>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</si>
  <si>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</si>
  <si>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</si>
  <si>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</si>
  <si>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</si>
  <si>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</si>
  <si>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</si>
  <si>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</si>
  <si>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</si>
  <si>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</si>
  <si>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</si>
  <si>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</si>
  <si>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</si>
  <si>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</si>
  <si>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</si>
  <si>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</si>
  <si>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</si>
  <si>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</si>
  <si>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</si>
  <si>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</si>
  <si>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</si>
  <si>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</si>
  <si>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</si>
  <si>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</si>
  <si>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</si>
  <si>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</si>
  <si>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</si>
  <si>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</si>
  <si>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</si>
  <si>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</si>
  <si>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</si>
  <si>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</si>
  <si>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</si>
  <si>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</si>
  <si>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</si>
  <si>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</si>
  <si>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</si>
  <si>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</si>
  <si>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</si>
  <si>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</si>
  <si>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</si>
  <si>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</si>
  <si>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</si>
  <si>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</si>
  <si>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</si>
  <si>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</si>
  <si>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</si>
  <si>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</si>
  <si>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</si>
  <si>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</si>
  <si>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</si>
  <si>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</si>
  <si>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</si>
  <si>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</si>
  <si>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</si>
  <si>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</si>
  <si>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</si>
  <si>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</si>
  <si>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</si>
  <si>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</si>
  <si>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</si>
  <si>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</si>
  <si>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</si>
  <si>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</si>
  <si>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</si>
  <si>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</si>
  <si>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</si>
  <si>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</si>
  <si>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</si>
  <si>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</si>
  <si>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</si>
  <si>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</si>
  <si>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</si>
  <si>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</si>
  <si>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</si>
  <si>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</si>
  <si>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</si>
  <si>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</si>
  <si>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</si>
  <si>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</si>
  <si>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</si>
  <si>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</si>
  <si>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</si>
  <si>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</si>
  <si>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</si>
  <si>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</si>
  <si>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</si>
  <si>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</si>
  <si>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</si>
  <si>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</si>
  <si>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</si>
  <si>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</si>
  <si>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</si>
  <si>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</si>
  <si>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</si>
  <si>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</si>
  <si>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</si>
  <si>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</si>
  <si>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</si>
  <si>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</si>
  <si>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</si>
  <si>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</si>
  <si>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</si>
  <si>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</si>
  <si>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</si>
  <si>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</si>
  <si>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</si>
  <si>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</si>
  <si>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</si>
  <si>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</si>
  <si>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</si>
  <si>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</si>
  <si>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</si>
  <si>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</si>
  <si>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</si>
  <si>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</si>
  <si>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</si>
  <si>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</si>
  <si>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</si>
  <si>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</si>
  <si>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</si>
  <si>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</si>
  <si>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</si>
  <si>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</si>
  <si>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</si>
  <si>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</si>
  <si>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</si>
  <si>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</si>
  <si>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</si>
  <si>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</si>
  <si>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</si>
  <si>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</si>
  <si>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</si>
  <si>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</si>
  <si>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</si>
  <si>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</si>
  <si>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</si>
  <si>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</si>
  <si>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</si>
  <si>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</si>
  <si>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</si>
  <si>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</si>
  <si>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</si>
  <si>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</si>
  <si>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</si>
  <si>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</si>
  <si>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</si>
  <si>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</si>
  <si>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</si>
  <si>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</si>
  <si>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</si>
  <si>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</si>
  <si>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</si>
  <si>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</si>
  <si>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</si>
  <si>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</si>
  <si>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</si>
  <si>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</si>
  <si>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</si>
  <si>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</si>
  <si>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</si>
  <si>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</si>
  <si>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</si>
  <si>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</si>
  <si>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</si>
  <si>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</si>
  <si>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</si>
  <si>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</si>
  <si>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</si>
  <si>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</si>
  <si>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</si>
  <si>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</si>
  <si>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</si>
  <si>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</si>
  <si>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</si>
  <si>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</si>
  <si>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</si>
  <si>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</si>
  <si>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</si>
  <si>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</si>
  <si>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</si>
  <si>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</si>
  <si>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</si>
  <si>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</si>
  <si>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</si>
  <si>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</si>
  <si>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</si>
  <si>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</si>
  <si>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</si>
  <si>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</si>
  <si>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</si>
  <si>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</si>
  <si>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</si>
  <si>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</si>
  <si>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</si>
  <si>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</si>
  <si>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</si>
  <si>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</si>
  <si>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</si>
  <si>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</si>
  <si>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</si>
  <si>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</si>
  <si>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</si>
  <si>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</si>
  <si>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</si>
  <si>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</si>
  <si>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</si>
  <si>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</si>
  <si>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</si>
  <si>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</si>
  <si>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</si>
  <si>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</si>
  <si>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</si>
  <si>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</si>
  <si>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</si>
  <si>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</si>
  <si>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</si>
  <si>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</si>
  <si>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</si>
  <si>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</si>
  <si>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</si>
  <si>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</si>
  <si>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</si>
  <si>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</si>
  <si>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</si>
  <si>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</si>
  <si>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</si>
  <si>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</si>
  <si>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</si>
  <si>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</si>
  <si>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</si>
  <si>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</si>
  <si>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</si>
  <si>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</si>
  <si>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</si>
  <si>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</si>
  <si>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</si>
  <si>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</si>
  <si>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</si>
  <si>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</si>
  <si>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</si>
  <si>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</si>
  <si>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</si>
  <si>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</si>
  <si>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</si>
  <si>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</si>
  <si>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</si>
  <si>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</si>
  <si>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</si>
  <si>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</si>
  <si>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</si>
  <si>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</si>
  <si>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</si>
  <si>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</si>
  <si>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</si>
  <si>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</si>
  <si>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</si>
  <si>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</si>
  <si>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</si>
  <si>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</si>
  <si>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</si>
  <si>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</si>
  <si>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</si>
  <si>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</si>
  <si>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</si>
  <si>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</si>
  <si>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</si>
  <si>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</si>
  <si>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</si>
  <si>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</si>
  <si>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</si>
  <si>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</si>
  <si>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</si>
  <si>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</si>
  <si>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</si>
  <si>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</si>
  <si>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</si>
  <si>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</si>
  <si>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</si>
  <si>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</si>
  <si>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</si>
  <si>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</si>
  <si>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</si>
  <si>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</si>
  <si>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</si>
  <si>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</si>
  <si>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</si>
  <si>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</si>
  <si>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</si>
  <si>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</si>
  <si>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</si>
  <si>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</si>
  <si>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</si>
  <si>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</si>
  <si>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</si>
  <si>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</si>
  <si>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</si>
  <si>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</si>
  <si>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</si>
  <si>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</si>
  <si>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</si>
  <si>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</si>
  <si>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</si>
  <si>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</si>
  <si>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</si>
  <si>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</si>
  <si>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</si>
  <si>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</si>
  <si>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</si>
  <si>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</si>
  <si>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</si>
  <si>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</si>
  <si>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</si>
  <si>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</si>
  <si>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</si>
  <si>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</si>
  <si>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</si>
  <si>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</si>
  <si>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</si>
  <si>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</si>
  <si>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</si>
  <si>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</si>
  <si>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</si>
  <si>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</si>
  <si>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</si>
  <si>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</si>
  <si>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</si>
  <si>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</si>
  <si>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</si>
  <si>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</si>
  <si>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</si>
  <si>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</si>
  <si>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</si>
  <si>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</si>
  <si>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</si>
  <si>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</si>
  <si>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</si>
  <si>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</si>
  <si>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</si>
  <si>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</si>
  <si>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</si>
  <si>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</si>
  <si>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</si>
  <si>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</si>
  <si>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</si>
  <si>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</si>
  <si>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</si>
  <si>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</si>
  <si>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</si>
  <si>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</si>
  <si>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</si>
  <si>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</si>
  <si>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</si>
  <si>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</si>
  <si>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</si>
  <si>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</si>
  <si>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</si>
  <si>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</si>
  <si>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</si>
  <si>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</si>
  <si>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</si>
  <si>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</si>
  <si>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</si>
  <si>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</si>
  <si>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</si>
  <si>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</si>
  <si>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</si>
  <si>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</si>
  <si>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</si>
  <si>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</si>
  <si>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</si>
  <si>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</si>
  <si>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</si>
  <si>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</si>
  <si>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</si>
  <si>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</si>
  <si>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</si>
  <si>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</si>
  <si>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</si>
  <si>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</si>
  <si>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</si>
  <si>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</si>
  <si>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</si>
  <si>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</si>
  <si>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</si>
  <si>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</si>
  <si>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</si>
  <si>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</si>
  <si>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</si>
  <si>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</si>
  <si>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</si>
  <si>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</si>
  <si>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</si>
  <si>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</si>
  <si>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</si>
  <si>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</si>
  <si>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</si>
  <si>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</si>
  <si>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</si>
  <si>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</si>
  <si>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</si>
  <si>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</si>
  <si>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</si>
  <si>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</si>
  <si>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</si>
  <si>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</si>
  <si>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</si>
  <si>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</si>
  <si>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</si>
  <si>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</si>
  <si>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</si>
  <si>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</si>
  <si>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</si>
  <si>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</si>
  <si>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</si>
  <si>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</si>
  <si>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</si>
  <si>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</si>
  <si>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</si>
  <si>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</si>
  <si>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</si>
  <si>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</si>
  <si>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</si>
  <si>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</si>
  <si>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</si>
  <si>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</si>
  <si>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</si>
  <si>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</si>
  <si>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</si>
  <si>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</si>
  <si>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</si>
  <si>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</si>
  <si>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</si>
  <si>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</si>
  <si>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</si>
  <si>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</si>
  <si>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</si>
  <si>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</si>
  <si>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</si>
  <si>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</si>
  <si>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</si>
  <si>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</si>
  <si>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</si>
  <si>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</si>
  <si>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</si>
  <si>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</si>
  <si>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</si>
  <si>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</si>
  <si>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</si>
  <si>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</si>
  <si>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</si>
  <si>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</si>
  <si>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</si>
  <si>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</si>
  <si>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</si>
  <si>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</si>
  <si>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</si>
  <si>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</si>
  <si>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</si>
  <si>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</si>
  <si>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</si>
  <si>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</si>
  <si>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</si>
  <si>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</si>
  <si>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</si>
  <si>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</si>
  <si>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</si>
  <si>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</si>
  <si>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</si>
  <si>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</si>
  <si>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</si>
  <si>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</si>
  <si>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</si>
  <si>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</si>
  <si>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</si>
  <si>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</si>
  <si>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</si>
  <si>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</si>
  <si>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</si>
  <si>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</si>
  <si>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</si>
  <si>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</si>
  <si>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</si>
  <si>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</si>
  <si>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</si>
  <si>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</si>
  <si>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</si>
  <si>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</si>
  <si>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</si>
  <si>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</si>
  <si>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</si>
  <si>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</si>
  <si>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</si>
  <si>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</si>
  <si>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</si>
  <si>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</si>
  <si>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</si>
  <si>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</si>
  <si>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</si>
  <si>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</si>
  <si>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</si>
  <si>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</si>
  <si>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</si>
  <si>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</si>
  <si>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</si>
  <si>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</si>
  <si>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</si>
  <si>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</si>
  <si>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</si>
  <si>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</si>
  <si>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</si>
  <si>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</si>
  <si>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</si>
  <si>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</si>
  <si>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</si>
  <si>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</si>
  <si>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</si>
  <si>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</si>
  <si>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</si>
  <si>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</si>
  <si>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</si>
  <si>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</si>
  <si>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</si>
  <si>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</si>
  <si>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</si>
  <si>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</si>
  <si>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</si>
  <si>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</si>
  <si>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</si>
  <si>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</si>
  <si>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</si>
  <si>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</si>
  <si>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</si>
  <si>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</si>
  <si>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</si>
  <si>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</si>
  <si>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</si>
  <si>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</si>
  <si>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</si>
  <si>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</si>
  <si>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</si>
  <si>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</si>
  <si>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</si>
  <si>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</si>
  <si>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</si>
  <si>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</si>
  <si>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</si>
  <si>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</si>
  <si>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</si>
  <si>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</si>
  <si>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</si>
  <si>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</si>
  <si>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</si>
  <si>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</si>
  <si>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</si>
  <si>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</si>
  <si>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</si>
  <si>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</si>
  <si>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</si>
  <si>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</si>
  <si>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</si>
  <si>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</si>
  <si>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</si>
  <si>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</si>
  <si>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</si>
  <si>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</si>
  <si>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</si>
  <si>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</si>
  <si>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</si>
  <si>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</si>
  <si>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</si>
  <si>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</si>
  <si>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</si>
  <si>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</si>
  <si>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</si>
  <si>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</si>
  <si>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</si>
  <si>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</si>
  <si>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</si>
  <si>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</si>
  <si>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</si>
  <si>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</si>
  <si>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</si>
  <si>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</si>
  <si>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</si>
  <si>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</si>
  <si>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</si>
  <si>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</si>
  <si>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</si>
  <si>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</si>
  <si>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</si>
  <si>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</si>
  <si>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</si>
  <si>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</si>
  <si>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</si>
  <si>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</si>
  <si>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</si>
  <si>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</si>
  <si>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</si>
  <si>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</si>
  <si>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</si>
  <si>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</si>
  <si>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</si>
  <si>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</si>
  <si>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</si>
  <si>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</si>
  <si>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</si>
  <si>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</si>
  <si>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</si>
  <si>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</si>
  <si>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</si>
  <si>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</si>
  <si>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</si>
  <si>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</si>
  <si>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</si>
  <si>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</si>
  <si>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</si>
  <si>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</si>
  <si>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</si>
  <si>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</si>
  <si>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</si>
  <si>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</si>
  <si>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</si>
  <si>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</si>
  <si>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</si>
  <si>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</si>
  <si>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</si>
  <si>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</si>
  <si>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</si>
  <si>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</si>
  <si>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</si>
  <si>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</si>
  <si>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</si>
  <si>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</si>
  <si>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</si>
  <si>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</si>
  <si>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</si>
  <si>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</si>
  <si>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</si>
  <si>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</si>
  <si>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</si>
  <si>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</si>
  <si>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</si>
  <si>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</si>
  <si>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</si>
  <si>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</si>
  <si>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</si>
  <si>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</si>
  <si>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</si>
  <si>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</si>
  <si>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</si>
  <si>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</si>
  <si>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</si>
  <si>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</si>
  <si>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</si>
  <si>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</si>
  <si>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</si>
  <si>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</si>
  <si>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</si>
  <si>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</si>
  <si>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</si>
  <si>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</si>
  <si>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</si>
  <si>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</si>
  <si>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</si>
  <si>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</si>
  <si>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</si>
  <si>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</si>
  <si>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</si>
  <si>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</si>
  <si>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</si>
  <si>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</si>
  <si>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</si>
  <si>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</si>
  <si>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</si>
  <si>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</si>
  <si>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</si>
  <si>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</si>
  <si>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</si>
  <si>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</si>
  <si>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</si>
  <si>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</si>
  <si>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</si>
  <si>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</si>
  <si>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</si>
  <si>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</si>
  <si>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</si>
  <si>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</si>
  <si>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</si>
  <si>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</si>
  <si>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</si>
  <si>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</si>
  <si>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</si>
  <si>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</si>
  <si>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</si>
  <si>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</si>
  <si>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</si>
  <si>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</si>
  <si>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</si>
  <si>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</si>
  <si>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</si>
  <si>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</si>
  <si>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</si>
  <si>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</si>
  <si>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</si>
  <si>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</si>
  <si>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</si>
  <si>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</si>
  <si>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</si>
  <si>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</si>
  <si>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</si>
  <si>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</si>
  <si>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</si>
  <si>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</si>
  <si>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</si>
  <si>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</si>
  <si>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</si>
  <si>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</si>
  <si>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</si>
  <si>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</si>
  <si>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</si>
  <si>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</si>
  <si>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</si>
  <si>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</si>
  <si>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</si>
  <si>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</si>
  <si>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</si>
  <si>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</si>
  <si>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</si>
  <si>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</si>
  <si>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</si>
  <si>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</si>
  <si>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</si>
  <si>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</si>
  <si>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</si>
  <si>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</si>
  <si>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</si>
  <si>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</si>
  <si>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</si>
  <si>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</si>
  <si>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</si>
  <si>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</si>
  <si>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</si>
  <si>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</si>
  <si>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</si>
  <si>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</si>
  <si>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</si>
  <si>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</si>
  <si>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</si>
  <si>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</si>
  <si>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</si>
  <si>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</si>
  <si>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</si>
  <si>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</si>
  <si>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</si>
  <si>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</si>
  <si>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</si>
  <si>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</si>
  <si>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</si>
  <si>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</si>
  <si>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</si>
  <si>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</si>
  <si>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</si>
  <si>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</si>
  <si>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</si>
  <si>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</si>
  <si>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</si>
  <si>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</si>
  <si>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</si>
  <si>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</si>
  <si>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</si>
  <si>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</si>
  <si>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</si>
  <si>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</si>
  <si>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</si>
  <si>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</si>
  <si>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</si>
  <si>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</si>
  <si>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</si>
  <si>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</si>
  <si>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</si>
  <si>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</si>
  <si>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</si>
  <si>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</si>
  <si>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</si>
  <si>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</si>
  <si>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</si>
  <si>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</si>
  <si>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</si>
  <si>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</si>
  <si>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</si>
  <si>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</si>
  <si>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</si>
  <si>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</si>
  <si>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</si>
  <si>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</si>
  <si>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</si>
  <si>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</si>
  <si>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</si>
  <si>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</si>
  <si>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</si>
  <si>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</si>
  <si>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</si>
  <si>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</si>
  <si>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</si>
  <si>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</si>
  <si>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</si>
  <si>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</si>
  <si>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</si>
  <si>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</si>
  <si>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</si>
  <si>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</si>
  <si>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</si>
  <si>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</si>
  <si>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</si>
  <si>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</si>
  <si>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</si>
  <si>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</si>
  <si>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</si>
  <si>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</si>
  <si>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</si>
  <si>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</si>
  <si>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</si>
  <si>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</si>
  <si>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</si>
  <si>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</si>
  <si>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</si>
  <si>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</si>
  <si>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</si>
  <si>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</si>
  <si>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</si>
  <si>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</si>
  <si>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</si>
  <si>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</si>
  <si>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</si>
  <si>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</si>
  <si>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</si>
  <si>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</si>
  <si>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</si>
  <si>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</si>
  <si>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</si>
  <si>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</si>
  <si>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</si>
  <si>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</si>
  <si>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</si>
  <si>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</si>
  <si>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</si>
  <si>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</si>
  <si>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</si>
  <si>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</si>
  <si>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</si>
  <si>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</si>
  <si>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</si>
  <si>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</si>
  <si>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</si>
  <si>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</si>
  <si>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</si>
  <si>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</si>
  <si>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</si>
  <si>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</si>
  <si>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</si>
  <si>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</si>
  <si>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</si>
  <si>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</si>
  <si>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</si>
  <si>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</si>
  <si>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</si>
  <si>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</si>
  <si>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</si>
  <si>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</si>
  <si>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</si>
  <si>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</si>
  <si>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</si>
  <si>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</si>
  <si>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</si>
  <si>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</si>
  <si>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</si>
  <si>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</si>
  <si>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</si>
  <si>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</si>
  <si>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</si>
  <si>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</si>
  <si>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</si>
  <si>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</si>
  <si>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</si>
  <si>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</si>
  <si>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</si>
  <si>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</si>
  <si>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</si>
  <si>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</si>
  <si>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</si>
  <si>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</si>
  <si>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</si>
  <si>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</si>
  <si>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</si>
  <si>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</si>
  <si>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</si>
  <si>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</si>
  <si>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</si>
  <si>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</si>
  <si>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</si>
  <si>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</si>
  <si>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</si>
  <si>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</si>
  <si>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</si>
  <si>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</si>
  <si>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</si>
  <si>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</si>
  <si>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</si>
  <si>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</si>
  <si>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</si>
  <si>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</si>
  <si>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</si>
  <si>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</si>
  <si>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</si>
  <si>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</si>
  <si>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</si>
  <si>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</si>
  <si>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</si>
  <si>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</si>
  <si>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</si>
  <si>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</si>
  <si>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</si>
  <si>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</si>
  <si>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</si>
  <si>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</si>
  <si>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</si>
  <si>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</si>
  <si>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</si>
  <si>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</si>
  <si>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</si>
  <si>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</si>
  <si>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</si>
  <si>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</si>
  <si>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</si>
  <si>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</si>
  <si>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</si>
  <si>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</si>
  <si>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</si>
  <si>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</si>
  <si>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</si>
  <si>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</si>
  <si>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</si>
  <si>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</si>
  <si>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</si>
  <si>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</si>
  <si>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</si>
  <si>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</si>
  <si>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</si>
  <si>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</si>
  <si>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</si>
  <si>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</si>
  <si>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</si>
  <si>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</si>
  <si>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</si>
  <si>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</si>
  <si>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</si>
  <si>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</si>
  <si>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</si>
  <si>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</si>
  <si>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</si>
  <si>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</si>
  <si>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</si>
  <si>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</si>
  <si>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</si>
  <si>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</si>
  <si>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</si>
  <si>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</si>
  <si>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</si>
  <si>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</si>
  <si>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</si>
  <si>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</si>
  <si>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</si>
  <si>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</si>
  <si>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</si>
  <si>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</si>
  <si>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</si>
  <si>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</si>
  <si>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</si>
  <si>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</si>
  <si>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</si>
  <si>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</si>
  <si>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</si>
  <si>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</si>
  <si>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</si>
  <si>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</si>
  <si>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</si>
  <si>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</si>
  <si>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</si>
  <si>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</si>
  <si>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</si>
  <si>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</si>
  <si>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</si>
  <si>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</si>
  <si>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</si>
  <si>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</si>
  <si>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</si>
  <si>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</si>
  <si>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</si>
  <si>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</si>
  <si>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</si>
  <si>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</si>
  <si>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</si>
  <si>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</si>
  <si>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</si>
  <si>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</si>
  <si>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</si>
  <si>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</si>
  <si>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</si>
  <si>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</si>
  <si>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</si>
  <si>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</si>
  <si>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</si>
  <si>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</si>
  <si>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</si>
  <si>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</si>
  <si>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</si>
  <si>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</si>
  <si>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</si>
  <si>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</si>
  <si>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</si>
  <si>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</si>
  <si>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</si>
  <si>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</si>
  <si>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</si>
  <si>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</si>
  <si>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</si>
  <si>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</si>
  <si>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</si>
  <si>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</si>
  <si>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</si>
  <si>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</si>
  <si>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</si>
  <si>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</si>
  <si>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</si>
  <si>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</si>
  <si>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</si>
  <si>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</si>
  <si>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</si>
  <si>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</si>
  <si>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</si>
  <si>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</si>
  <si>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</si>
  <si>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</si>
  <si>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</si>
  <si>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</si>
  <si>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</si>
  <si>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</si>
  <si>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</si>
  <si>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</si>
  <si>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</si>
  <si>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</si>
  <si>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</si>
  <si>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</si>
  <si>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</si>
  <si>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</si>
  <si>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</si>
  <si>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</si>
  <si>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</si>
  <si>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</si>
  <si>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</si>
  <si>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</si>
  <si>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</si>
  <si>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</si>
  <si>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</si>
  <si>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</si>
  <si>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</si>
  <si>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</si>
  <si>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</si>
  <si>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</si>
  <si>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</si>
  <si>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</si>
  <si>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</si>
  <si>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</si>
  <si>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</si>
  <si>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</si>
  <si>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</si>
  <si>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</si>
  <si>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</si>
  <si>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</si>
  <si>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</si>
  <si>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</si>
  <si>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</si>
  <si>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</si>
  <si>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</si>
  <si>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</si>
  <si>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</si>
  <si>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</si>
  <si>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</si>
  <si>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</si>
  <si>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</si>
  <si>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</si>
  <si>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</si>
  <si>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</si>
  <si>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</si>
  <si>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</si>
  <si>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</si>
  <si>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</si>
  <si>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</si>
  <si>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</si>
  <si>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</si>
  <si>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</si>
  <si>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</si>
  <si>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</si>
  <si>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</si>
  <si>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</si>
  <si>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</si>
  <si>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</si>
  <si>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</si>
  <si>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</si>
  <si>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</si>
  <si>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</si>
  <si>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</si>
  <si>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</si>
  <si>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</si>
  <si>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</si>
  <si>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</si>
  <si>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</si>
  <si>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</si>
  <si>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</si>
  <si>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</si>
  <si>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</si>
  <si>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</si>
  <si>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</si>
  <si>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</si>
  <si>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</si>
  <si>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</si>
  <si>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</si>
  <si>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</si>
  <si>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</si>
  <si>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</si>
  <si>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</si>
  <si>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</si>
  <si>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</si>
  <si>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</si>
  <si>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</si>
  <si>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</si>
  <si>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</si>
  <si>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</si>
  <si>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</si>
  <si>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</si>
  <si>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</si>
  <si>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</si>
  <si>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</si>
  <si>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</si>
  <si>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</si>
  <si>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</si>
  <si>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</si>
  <si>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</si>
  <si>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</si>
  <si>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</si>
  <si>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</si>
  <si>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</si>
  <si>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</si>
  <si>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</si>
  <si>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</si>
  <si>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</si>
  <si>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</si>
  <si>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</si>
  <si>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</si>
  <si>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</si>
  <si>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</si>
  <si>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</si>
  <si>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</si>
  <si>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</si>
  <si>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</si>
  <si>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</si>
  <si>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</si>
  <si>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</si>
  <si>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</si>
  <si>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</si>
  <si>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</si>
  <si>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</si>
  <si>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</si>
  <si>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</si>
  <si>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</si>
  <si>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</si>
  <si>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</si>
  <si>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</si>
  <si>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</si>
  <si>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</si>
  <si>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</si>
  <si>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</si>
  <si>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</si>
  <si>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</si>
  <si>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</si>
  <si>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</si>
  <si>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</si>
  <si>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</si>
  <si>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</si>
  <si>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</si>
  <si>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</si>
  <si>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</si>
  <si>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</si>
  <si>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</si>
  <si>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</si>
  <si>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</si>
  <si>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</si>
  <si>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</si>
  <si>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</si>
  <si>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</si>
  <si>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</si>
  <si>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</si>
  <si>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</si>
  <si>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</si>
  <si>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</si>
  <si>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</si>
  <si>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</si>
  <si>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</si>
  <si>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</si>
  <si>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</si>
  <si>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</si>
  <si>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</si>
  <si>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</si>
  <si>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</si>
  <si>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</si>
  <si>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</si>
  <si>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</si>
  <si>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</si>
  <si>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</si>
  <si>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</si>
  <si>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</si>
  <si>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</si>
  <si>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</si>
  <si>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</si>
  <si>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</si>
  <si>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</si>
  <si>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</si>
  <si>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</si>
  <si>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</si>
  <si>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</si>
  <si>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</si>
  <si>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</si>
  <si>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</si>
  <si>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</si>
  <si>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</si>
  <si>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</si>
  <si>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</si>
  <si>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</si>
  <si>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</si>
  <si>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</si>
  <si>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</si>
  <si>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</si>
  <si>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</si>
  <si>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</si>
  <si>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</si>
  <si>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</si>
  <si>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</si>
  <si>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</si>
  <si>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</si>
  <si>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</si>
  <si>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</si>
  <si>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</si>
  <si>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</si>
  <si>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</si>
  <si>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</si>
  <si>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</si>
  <si>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</si>
  <si>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</si>
  <si>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</si>
  <si>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</si>
  <si>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</si>
  <si>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</si>
  <si>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</si>
  <si>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</si>
  <si>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</si>
  <si>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</si>
  <si>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</si>
  <si>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</si>
  <si>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</si>
  <si>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</si>
  <si>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</si>
  <si>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</si>
  <si>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</si>
  <si>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</si>
  <si>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</si>
  <si>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</si>
  <si>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</si>
  <si>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</si>
  <si>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</si>
  <si>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</si>
  <si>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</si>
  <si>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</si>
  <si>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</si>
  <si>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</si>
  <si>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</si>
  <si>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</si>
  <si>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</si>
  <si>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</si>
  <si>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</si>
  <si>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</si>
  <si>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</si>
  <si>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</si>
  <si>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</si>
  <si>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</si>
  <si>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</si>
  <si>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</si>
  <si>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</si>
  <si>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</si>
  <si>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</si>
  <si>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</si>
  <si>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</si>
  <si>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</si>
  <si>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</si>
  <si>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</si>
  <si>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</si>
  <si>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</si>
  <si>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</si>
  <si>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</si>
  <si>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</si>
  <si>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</si>
  <si>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</si>
  <si>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</si>
  <si>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</si>
  <si>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</si>
  <si>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</si>
  <si>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</si>
  <si>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</si>
  <si>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</si>
  <si>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</si>
  <si>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</si>
  <si>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</si>
  <si>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</si>
  <si>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</si>
  <si>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</si>
  <si>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</si>
  <si>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</si>
  <si>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</si>
  <si>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</si>
  <si>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</si>
  <si>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</si>
  <si>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</si>
  <si>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</si>
  <si>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</si>
  <si>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</si>
  <si>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</si>
  <si>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</si>
  <si>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</si>
  <si>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</si>
  <si>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</si>
  <si>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</si>
  <si>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</si>
  <si>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</si>
  <si>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</si>
  <si>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</si>
  <si>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</si>
  <si>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</si>
  <si>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</si>
  <si>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</si>
  <si>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</si>
  <si>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</si>
  <si>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</si>
  <si>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</si>
  <si>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</si>
  <si>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</si>
  <si>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</si>
  <si>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</si>
  <si>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</si>
  <si>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</si>
  <si>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</si>
  <si>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</si>
  <si>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</si>
  <si>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</si>
  <si>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</si>
  <si>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</si>
  <si>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</si>
  <si>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</si>
  <si>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</si>
  <si>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</si>
  <si>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</si>
  <si>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</si>
  <si>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</si>
  <si>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</si>
  <si>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</si>
  <si>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</si>
  <si>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</si>
  <si>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</si>
  <si>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</si>
  <si>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</si>
  <si>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</si>
  <si>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</si>
  <si>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</si>
  <si>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</si>
  <si>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</si>
  <si>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</si>
  <si>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</si>
  <si>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</si>
  <si>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</si>
  <si>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</si>
  <si>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</si>
  <si>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</si>
  <si>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</si>
  <si>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</si>
  <si>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</si>
  <si>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</si>
  <si>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</si>
  <si>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</si>
  <si>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</si>
  <si>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</si>
  <si>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</si>
  <si>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</si>
  <si>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</si>
  <si>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</si>
  <si>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</si>
  <si>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</si>
  <si>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</si>
  <si>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</si>
  <si>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</si>
  <si>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</si>
  <si>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</si>
  <si>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</si>
  <si>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</si>
  <si>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</si>
  <si>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</si>
  <si>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</si>
  <si>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</si>
  <si>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</si>
  <si>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</si>
  <si>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</si>
  <si>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</si>
  <si>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</si>
  <si>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</si>
  <si>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</si>
  <si>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</si>
  <si>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</si>
  <si>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</si>
  <si>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</si>
  <si>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</si>
  <si>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</si>
  <si>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</si>
  <si>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</si>
  <si>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</si>
  <si>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</si>
  <si>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</si>
  <si>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</si>
  <si>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</si>
  <si>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</si>
  <si>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</si>
  <si>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</si>
  <si>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</si>
  <si>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</si>
  <si>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</si>
  <si>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</si>
  <si>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</si>
  <si>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</si>
  <si>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</si>
  <si>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</si>
  <si>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</si>
  <si>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</si>
  <si>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</si>
  <si>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</si>
  <si>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</si>
  <si>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</si>
  <si>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</si>
  <si>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</si>
  <si>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</si>
  <si>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</si>
  <si>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</si>
  <si>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</si>
  <si>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</si>
  <si>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</si>
  <si>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</si>
  <si>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</si>
  <si>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</si>
  <si>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</si>
  <si>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</si>
  <si>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</si>
  <si>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</si>
  <si>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</si>
  <si>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</si>
  <si>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</si>
  <si>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</si>
  <si>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</si>
  <si>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</si>
  <si>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</si>
  <si>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</si>
  <si>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</si>
  <si>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</si>
  <si>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</si>
  <si>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</si>
  <si>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</si>
  <si>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</si>
  <si>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</si>
  <si>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</si>
  <si>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</si>
  <si>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</si>
  <si>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</si>
  <si>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</si>
  <si>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</si>
  <si>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</si>
  <si>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</si>
  <si>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</si>
  <si>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</si>
  <si>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</si>
  <si>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</si>
  <si>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</si>
  <si>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</si>
  <si>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</si>
  <si>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</si>
  <si>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</si>
  <si>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</si>
  <si>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</si>
  <si>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</si>
  <si>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</si>
  <si>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</si>
  <si>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</si>
  <si>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</si>
  <si>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</si>
  <si>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</si>
  <si>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</si>
  <si>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</si>
  <si>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</si>
  <si>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</si>
  <si>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</si>
  <si>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</si>
  <si>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</si>
  <si>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</si>
  <si>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</si>
  <si>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</si>
  <si>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</si>
  <si>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</si>
  <si>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</si>
  <si>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</si>
  <si>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</si>
  <si>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</si>
  <si>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</si>
  <si>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</si>
  <si>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</si>
  <si>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</si>
  <si>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</si>
  <si>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</si>
  <si>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</si>
  <si>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</si>
  <si>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</si>
  <si>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</si>
  <si>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</si>
  <si>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</si>
  <si>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</si>
  <si>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</si>
  <si>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</si>
  <si>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</si>
  <si>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</si>
  <si>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</si>
  <si>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</si>
  <si>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</si>
  <si>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</si>
  <si>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</si>
  <si>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</si>
  <si>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</si>
  <si>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</si>
  <si>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</si>
  <si>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</si>
  <si>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</si>
  <si>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</si>
  <si>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</si>
  <si>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</si>
  <si>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</si>
  <si>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</si>
  <si>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</si>
  <si>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</si>
  <si>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</si>
  <si>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</si>
  <si>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</si>
  <si>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</si>
  <si>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</si>
  <si>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</si>
  <si>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</si>
  <si>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</si>
  <si>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</si>
  <si>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</si>
  <si>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</si>
  <si>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</si>
  <si>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</si>
  <si>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</si>
  <si>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</si>
  <si>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</si>
  <si>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</si>
  <si>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</si>
  <si>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</si>
  <si>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</si>
  <si>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</si>
  <si>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</si>
  <si>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</si>
  <si>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</si>
  <si>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</si>
  <si>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</si>
  <si>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</si>
  <si>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</si>
  <si>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</si>
  <si>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</si>
  <si>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</si>
  <si>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</si>
  <si>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</si>
  <si>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</si>
  <si>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</si>
  <si>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</si>
  <si>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</si>
  <si>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</si>
  <si>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</si>
  <si>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</si>
  <si>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</si>
  <si>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</si>
  <si>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</si>
  <si>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</si>
  <si>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</si>
  <si>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</si>
  <si>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</si>
  <si>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</si>
  <si>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</si>
  <si>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</si>
  <si>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</si>
  <si>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</si>
  <si>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</si>
  <si>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</si>
  <si>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</si>
  <si>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</si>
  <si>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</si>
  <si>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</si>
  <si>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</si>
  <si>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</si>
  <si>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</si>
  <si>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</si>
  <si>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</si>
  <si>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</si>
  <si>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</si>
  <si>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</si>
  <si>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</si>
  <si>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</si>
  <si>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</si>
  <si>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</si>
  <si>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</si>
  <si>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</si>
  <si>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</si>
  <si>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</si>
  <si>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</si>
  <si>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</si>
  <si>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</si>
  <si>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</si>
  <si>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</si>
  <si>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</si>
  <si>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</si>
  <si>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</si>
  <si>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</si>
  <si>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</si>
  <si>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</si>
  <si>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</si>
  <si>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</si>
  <si>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</si>
  <si>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</si>
  <si>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</si>
  <si>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</si>
  <si>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</si>
  <si>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</si>
  <si>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</si>
  <si>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</si>
  <si>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</si>
  <si>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</si>
  <si>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</si>
  <si>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</si>
  <si>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</si>
  <si>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</si>
  <si>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</si>
  <si>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</si>
  <si>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</si>
  <si>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</si>
  <si>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</si>
  <si>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</si>
  <si>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</si>
  <si>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</si>
  <si>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</si>
  <si>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</si>
  <si>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</si>
  <si>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</si>
  <si>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</si>
  <si>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</si>
  <si>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</si>
  <si>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</si>
  <si>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</si>
  <si>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</si>
  <si>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</si>
  <si>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</si>
  <si>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</si>
  <si>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</si>
  <si>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</si>
  <si>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</si>
  <si>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</si>
  <si>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</si>
  <si>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</si>
  <si>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</si>
  <si>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</si>
  <si>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</si>
  <si>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</si>
  <si>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</si>
  <si>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</si>
  <si>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</si>
  <si>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</si>
  <si>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</si>
  <si>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</si>
  <si>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</si>
  <si>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</si>
  <si>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</si>
  <si>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</si>
  <si>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</si>
  <si>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</si>
  <si>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</si>
  <si>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</si>
  <si>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</si>
  <si>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</si>
  <si>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</si>
  <si>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</si>
  <si>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</si>
  <si>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</si>
  <si>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</si>
  <si>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</si>
  <si>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</si>
  <si>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</si>
  <si>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</si>
  <si>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</si>
  <si>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</si>
  <si>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</si>
  <si>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</si>
  <si>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</si>
  <si>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</si>
  <si>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</si>
  <si>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</si>
  <si>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</si>
  <si>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</si>
  <si>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</si>
  <si>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</si>
  <si>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</si>
  <si>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</si>
  <si>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</si>
  <si>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</si>
  <si>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</si>
  <si>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</si>
  <si>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</si>
  <si>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</si>
  <si>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</si>
  <si>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</si>
  <si>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</si>
  <si>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</si>
  <si>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</si>
  <si>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</si>
  <si>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</si>
  <si>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</si>
  <si>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</si>
  <si>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</si>
  <si>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</si>
  <si>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</si>
  <si>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</si>
  <si>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</si>
  <si>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</si>
  <si>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</si>
  <si>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</si>
  <si>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</si>
  <si>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</si>
  <si>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</si>
  <si>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</si>
  <si>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</si>
  <si>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</si>
  <si>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</si>
  <si>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</si>
  <si>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</si>
  <si>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</si>
  <si>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</si>
  <si>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</si>
  <si>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</si>
  <si>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</si>
  <si>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</si>
  <si>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</si>
  <si>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</si>
  <si>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</si>
  <si>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</si>
  <si>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</si>
  <si>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</si>
  <si>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</si>
  <si>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</si>
  <si>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</si>
  <si>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</si>
  <si>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</si>
  <si>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</si>
  <si>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</si>
  <si>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</si>
  <si>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</si>
  <si>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</si>
  <si>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</si>
  <si>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</si>
  <si>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</si>
  <si>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</si>
  <si>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</si>
  <si>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</si>
  <si>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</si>
  <si>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</si>
  <si>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</si>
  <si>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</si>
  <si>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</si>
  <si>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</si>
  <si>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</si>
  <si>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</si>
  <si>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</si>
  <si>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</si>
  <si>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</si>
  <si>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</si>
  <si>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</si>
  <si>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</si>
  <si>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</si>
  <si>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</si>
  <si>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</si>
  <si>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</si>
  <si>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</si>
  <si>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</si>
  <si>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</si>
  <si>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</si>
  <si>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</si>
  <si>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</si>
  <si>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</si>
  <si>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</si>
  <si>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</si>
  <si>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</si>
  <si>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</si>
  <si>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</si>
  <si>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</si>
  <si>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</si>
  <si>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</si>
  <si>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</si>
  <si>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</si>
  <si>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</si>
  <si>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</si>
  <si>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</si>
  <si>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</si>
  <si>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</si>
  <si>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</si>
  <si>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</si>
  <si>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</si>
  <si>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</si>
  <si>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</si>
  <si>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</si>
  <si>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</si>
  <si>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</si>
  <si>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</si>
  <si>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</si>
  <si>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</si>
  <si>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</si>
  <si>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</si>
  <si>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</si>
  <si>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</si>
  <si>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</si>
  <si>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</si>
  <si>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</si>
  <si>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</si>
  <si>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</si>
  <si>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</si>
  <si>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</si>
  <si>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</si>
  <si>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</si>
  <si>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</si>
  <si>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</si>
  <si>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</si>
  <si>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</si>
  <si>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</si>
  <si>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</si>
  <si>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</si>
  <si>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</si>
  <si>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</si>
  <si>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</si>
  <si>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</si>
  <si>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</si>
  <si>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</si>
  <si>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</si>
  <si>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</si>
  <si>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</si>
  <si>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</si>
  <si>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</si>
  <si>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</si>
  <si>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</si>
  <si>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</si>
  <si>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</si>
  <si>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</si>
  <si>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</si>
  <si>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</si>
  <si>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</si>
  <si>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</si>
  <si>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</si>
  <si>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</si>
  <si>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</si>
  <si>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</si>
  <si>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</si>
  <si>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</si>
  <si>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</si>
  <si>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</si>
  <si>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</si>
  <si>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</si>
  <si>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</si>
  <si>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</si>
  <si>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</si>
  <si>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</si>
  <si>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</si>
  <si>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</si>
  <si>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</si>
  <si>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</si>
  <si>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</si>
  <si>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</si>
  <si>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</si>
  <si>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</si>
  <si>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</si>
  <si>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</si>
  <si>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</si>
  <si>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</si>
  <si>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</si>
  <si>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</si>
  <si>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</si>
  <si>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</si>
  <si>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</si>
  <si>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</si>
  <si>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</si>
  <si>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</si>
  <si>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</si>
  <si>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</si>
  <si>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</si>
  <si>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</si>
  <si>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</si>
  <si>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</si>
  <si>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</si>
  <si>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</si>
  <si>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</si>
  <si>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</si>
  <si>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</si>
  <si>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</si>
  <si>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</si>
  <si>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</si>
  <si>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</si>
  <si>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</si>
  <si>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</si>
  <si>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</si>
  <si>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</si>
  <si>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</si>
  <si>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</si>
  <si>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</si>
  <si>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</si>
  <si>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</si>
  <si>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</si>
  <si>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</si>
  <si>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</si>
  <si>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</si>
  <si>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</si>
  <si>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</si>
  <si>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</si>
  <si>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</si>
  <si>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</si>
  <si>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</si>
  <si>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</si>
  <si>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</si>
  <si>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</si>
  <si>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</si>
  <si>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</si>
  <si>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</si>
  <si>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</si>
  <si>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</si>
  <si>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</si>
  <si>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</si>
  <si>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</si>
  <si>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</si>
  <si>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</si>
  <si>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</si>
  <si>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</si>
  <si>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</si>
  <si>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</si>
  <si>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</si>
  <si>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</si>
  <si>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</si>
  <si>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</si>
  <si>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</si>
  <si>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</si>
  <si>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</si>
  <si>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</si>
  <si>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</si>
  <si>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</si>
  <si>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</si>
  <si>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</si>
  <si>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</si>
  <si>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</si>
  <si>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</si>
  <si>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</si>
  <si>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</si>
  <si>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</si>
  <si>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</si>
  <si>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</si>
  <si>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</si>
  <si>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</si>
  <si>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</si>
  <si>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</si>
  <si>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</si>
  <si>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</si>
  <si>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</si>
  <si>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</si>
  <si>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</si>
  <si>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</si>
  <si>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</si>
  <si>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</si>
  <si>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</si>
  <si>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</si>
  <si>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</si>
  <si>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</si>
  <si>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</si>
  <si>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</si>
  <si>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</si>
  <si>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</si>
  <si>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</si>
  <si>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</si>
  <si>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</si>
  <si>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</si>
  <si>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</si>
  <si>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</si>
  <si>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</si>
  <si>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</si>
  <si>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</si>
  <si>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</si>
  <si>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</si>
  <si>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</si>
  <si>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</si>
  <si>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</si>
  <si>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</si>
  <si>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</si>
  <si>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</si>
  <si>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</si>
  <si>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</si>
  <si>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</si>
  <si>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</si>
  <si>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</si>
  <si>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</si>
  <si>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</si>
  <si>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</si>
  <si>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</si>
  <si>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</si>
  <si>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</si>
  <si>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</si>
  <si>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</si>
  <si>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</si>
  <si>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</si>
  <si>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</si>
  <si>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</si>
  <si>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</si>
  <si>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</si>
  <si>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</si>
  <si>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</si>
  <si>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</si>
  <si>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</si>
  <si>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</si>
  <si>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</si>
  <si>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</si>
  <si>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</si>
  <si>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</si>
  <si>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</si>
  <si>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</si>
  <si>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</si>
  <si>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</si>
  <si>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</si>
  <si>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</si>
  <si>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</si>
  <si>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</si>
  <si>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</si>
  <si>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</si>
  <si>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</si>
  <si>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</si>
  <si>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</si>
  <si>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</si>
  <si>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</si>
  <si>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</si>
  <si>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</si>
  <si>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</si>
  <si>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</si>
  <si>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</si>
  <si>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</si>
  <si>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</si>
  <si>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</si>
  <si>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</si>
  <si>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</si>
  <si>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</si>
  <si>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</si>
  <si>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</si>
  <si>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</si>
  <si>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</si>
  <si>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</si>
  <si>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</si>
  <si>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</si>
  <si>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</si>
  <si>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</si>
  <si>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</si>
  <si>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</si>
  <si>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</si>
  <si>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</si>
  <si>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</si>
  <si>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</si>
  <si>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</si>
  <si>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</si>
  <si>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</si>
  <si>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</si>
  <si>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</si>
  <si>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</si>
  <si>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</si>
  <si>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</si>
  <si>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</si>
  <si>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</si>
  <si>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</si>
  <si>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</si>
  <si>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</si>
  <si>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</si>
  <si>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</si>
  <si>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</si>
  <si>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</si>
  <si>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</si>
  <si>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</si>
  <si>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</si>
  <si>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</si>
  <si>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</si>
  <si>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</si>
  <si>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</si>
  <si>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</si>
  <si>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</si>
  <si>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</si>
  <si>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</si>
  <si>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</si>
  <si>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</si>
  <si>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</si>
  <si>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</si>
  <si>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</si>
  <si>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</si>
  <si>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</si>
  <si>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</si>
  <si>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</si>
  <si>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</si>
  <si>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</si>
  <si>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</si>
  <si>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</si>
  <si>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</si>
  <si>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</si>
  <si>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</si>
  <si>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</si>
  <si>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</si>
  <si>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</si>
  <si>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</si>
  <si>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</si>
  <si>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</si>
  <si>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</si>
  <si>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</si>
  <si>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</si>
  <si>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</si>
  <si>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</si>
  <si>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</si>
  <si>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</si>
  <si>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</si>
  <si>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</si>
  <si>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</si>
  <si>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</si>
  <si>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</si>
  <si>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</si>
  <si>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</si>
  <si>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</si>
  <si>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</si>
  <si>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</si>
  <si>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</si>
  <si>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</si>
  <si>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</si>
  <si>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</si>
  <si>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</si>
  <si>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</si>
  <si>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</si>
  <si>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</si>
  <si>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</si>
  <si>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</si>
  <si>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</si>
  <si>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</si>
  <si>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</si>
  <si>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</si>
  <si>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</si>
  <si>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</si>
  <si>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</si>
  <si>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</si>
  <si>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</si>
  <si>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</si>
  <si>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</si>
  <si>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</si>
  <si>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</si>
  <si>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</si>
  <si>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</si>
  <si>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</si>
  <si>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</si>
  <si>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</si>
  <si>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</si>
  <si>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</si>
  <si>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</si>
  <si>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</si>
  <si>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</si>
  <si>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</si>
  <si>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</si>
  <si>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</si>
  <si>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</si>
  <si>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</si>
  <si>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</si>
  <si>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</si>
  <si>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</si>
  <si>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</si>
  <si>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</si>
  <si>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</si>
  <si>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</si>
  <si>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</si>
  <si>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</si>
  <si>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</si>
  <si>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</si>
  <si>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</si>
  <si>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</si>
  <si>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</si>
  <si>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</si>
  <si>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</si>
  <si>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</si>
  <si>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</si>
  <si>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</si>
  <si>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</si>
  <si>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</si>
  <si>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</si>
  <si>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</si>
  <si>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</si>
  <si>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</si>
  <si>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</si>
  <si>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</si>
  <si>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</si>
  <si>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</si>
  <si>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</si>
  <si>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</si>
  <si>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</si>
  <si>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</si>
  <si>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</si>
  <si>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</si>
  <si>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</si>
  <si>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</si>
  <si>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</si>
  <si>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</si>
  <si>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</si>
  <si>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</si>
  <si>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</si>
  <si>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</si>
  <si>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</si>
  <si>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</si>
  <si>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</si>
  <si>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</si>
  <si>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</si>
  <si>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</si>
  <si>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</si>
  <si>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</si>
  <si>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</si>
  <si>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</si>
  <si>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</si>
  <si>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</si>
  <si>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</si>
  <si>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</si>
  <si>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</si>
  <si>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</si>
  <si>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</si>
  <si>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</si>
  <si>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</si>
  <si>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</si>
  <si>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</si>
  <si>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</si>
  <si>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</si>
  <si>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</si>
  <si>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</si>
  <si>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</si>
  <si>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</si>
  <si>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</si>
  <si>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</si>
  <si>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</si>
  <si>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</si>
  <si>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</si>
  <si>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</si>
  <si>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</si>
  <si>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</si>
  <si>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</si>
  <si>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</si>
  <si>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</si>
  <si>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</si>
  <si>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</si>
  <si>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</si>
  <si>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</si>
  <si>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</si>
  <si>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</si>
  <si>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</si>
  <si>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</si>
  <si>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</si>
  <si>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</si>
  <si>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</si>
  <si>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</si>
  <si>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</si>
  <si>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</si>
  <si>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</si>
  <si>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</si>
  <si>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</si>
  <si>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</si>
  <si>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</si>
  <si>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</si>
  <si>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</si>
  <si>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</si>
  <si>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</si>
  <si>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</si>
  <si>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</si>
  <si>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</si>
  <si>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</si>
  <si>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</si>
  <si>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</si>
  <si>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</si>
  <si>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</si>
  <si>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</si>
  <si>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</si>
  <si>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</si>
  <si>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</si>
  <si>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</si>
  <si>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</si>
  <si>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</si>
  <si>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</si>
  <si>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</si>
  <si>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</si>
  <si>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</si>
  <si>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</si>
  <si>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</si>
  <si>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</si>
  <si>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</si>
  <si>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</si>
  <si>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</si>
  <si>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</si>
  <si>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</si>
  <si>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</si>
  <si>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</si>
  <si>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</si>
  <si>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</si>
  <si>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</si>
  <si>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</si>
  <si>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</si>
  <si>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</si>
  <si>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</si>
  <si>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</si>
  <si>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</si>
  <si>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</si>
  <si>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</si>
  <si>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</si>
  <si>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</si>
  <si>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</si>
  <si>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</si>
  <si>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</si>
  <si>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</si>
  <si>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</si>
  <si>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</si>
  <si>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</si>
  <si>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</si>
  <si>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</si>
  <si>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</si>
  <si>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</si>
  <si>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</si>
  <si>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</si>
  <si>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</si>
  <si>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</si>
  <si>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</si>
  <si>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</si>
  <si>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</si>
  <si>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</si>
  <si>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</si>
  <si>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</si>
  <si>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</si>
  <si>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</si>
  <si>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</si>
  <si>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</si>
  <si>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</si>
  <si>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</si>
  <si>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</si>
  <si>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</si>
  <si>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</si>
  <si>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</si>
  <si>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</si>
  <si>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</si>
  <si>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</si>
  <si>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</si>
  <si>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</si>
  <si>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</si>
  <si>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</si>
  <si>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</si>
  <si>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</si>
  <si>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</si>
  <si>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</si>
  <si>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</si>
  <si>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</si>
  <si>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</si>
  <si>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</si>
  <si>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</si>
  <si>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</si>
  <si>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</si>
  <si>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</si>
  <si>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</si>
  <si>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</si>
  <si>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</si>
  <si>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</si>
  <si>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</si>
  <si>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</si>
  <si>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</si>
  <si>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</si>
  <si>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</si>
  <si>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</si>
  <si>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</si>
  <si>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</si>
  <si>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</si>
  <si>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</si>
  <si>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</si>
  <si>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</si>
  <si>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</si>
  <si>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</si>
  <si>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</si>
  <si>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</si>
  <si>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</si>
  <si>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</si>
  <si>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</si>
  <si>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</si>
  <si>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</si>
  <si>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</si>
  <si>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</si>
  <si>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</si>
  <si>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</si>
  <si>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</si>
  <si>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</si>
  <si>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</si>
  <si>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</si>
  <si>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</si>
  <si>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</si>
  <si>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</si>
  <si>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</si>
  <si>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</si>
  <si>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</si>
  <si>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</si>
  <si>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</si>
  <si>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</si>
  <si>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</si>
  <si>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</si>
  <si>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</si>
  <si>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</si>
  <si>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</si>
  <si>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</si>
  <si>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</si>
  <si>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</si>
  <si>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</si>
  <si>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</si>
  <si>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</si>
  <si>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</si>
  <si>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</si>
  <si>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</si>
  <si>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</si>
  <si>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</si>
  <si>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</si>
  <si>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</si>
  <si>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</si>
  <si>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</si>
  <si>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</si>
  <si>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</si>
  <si>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</si>
  <si>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</si>
  <si>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</si>
  <si>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</si>
  <si>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</si>
  <si>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</si>
  <si>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</si>
  <si>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</si>
  <si>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</si>
  <si>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</si>
  <si>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</si>
  <si>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</si>
  <si>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</si>
  <si>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</si>
  <si>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</si>
  <si>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</si>
  <si>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</si>
  <si>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</si>
  <si>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</si>
  <si>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</si>
  <si>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</si>
  <si>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</si>
  <si>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</si>
  <si>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</si>
  <si>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</si>
  <si>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</si>
  <si>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</si>
  <si>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</si>
  <si>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</si>
  <si>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</si>
  <si>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</si>
  <si>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</si>
  <si>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</si>
  <si>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</si>
  <si>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</si>
  <si>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</si>
  <si>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</si>
  <si>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</si>
  <si>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</si>
  <si>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</si>
  <si>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</si>
  <si>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</si>
  <si>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</si>
  <si>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</si>
  <si>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</si>
  <si>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</si>
  <si>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</si>
  <si>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</si>
  <si>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</si>
  <si>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</si>
  <si>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</si>
  <si>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</si>
  <si>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</si>
  <si>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</si>
  <si>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</si>
  <si>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</si>
  <si>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</si>
  <si>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</si>
  <si>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</si>
  <si>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</si>
  <si>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</si>
  <si>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</si>
  <si>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</si>
  <si>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</si>
  <si>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</si>
  <si>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</si>
  <si>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</si>
  <si>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</si>
  <si>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</si>
  <si>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</si>
  <si>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</si>
  <si>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</si>
  <si>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</si>
  <si>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</si>
  <si>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</si>
  <si>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</si>
  <si>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</si>
  <si>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</si>
  <si>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</si>
  <si>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</si>
  <si>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</si>
  <si>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</si>
  <si>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</si>
  <si>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</si>
  <si>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</si>
  <si>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</si>
  <si>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</si>
  <si>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</si>
  <si>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</si>
  <si>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</si>
  <si>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</si>
  <si>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</si>
  <si>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</si>
  <si>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</si>
  <si>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</si>
  <si>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</si>
  <si>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</si>
  <si>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</si>
  <si>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</si>
  <si>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</si>
  <si>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</si>
  <si>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</si>
  <si>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</si>
  <si>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</si>
  <si>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</si>
  <si>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</si>
  <si>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</si>
  <si>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</si>
  <si>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</si>
  <si>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</si>
  <si>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</si>
  <si>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</si>
  <si>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</si>
  <si>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</si>
  <si>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</si>
  <si>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</si>
  <si>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</si>
  <si>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</si>
  <si>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</si>
  <si>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</si>
  <si>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</si>
  <si>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</si>
  <si>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</si>
  <si>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</si>
  <si>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</si>
  <si>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</si>
  <si>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</si>
  <si>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</si>
  <si>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</si>
  <si>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</si>
  <si>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</si>
  <si>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</si>
  <si>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</si>
  <si>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</si>
  <si>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</si>
  <si>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</si>
  <si>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</si>
  <si>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</si>
  <si>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</si>
  <si>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</si>
  <si>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</si>
  <si>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</si>
  <si>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</si>
  <si>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</si>
  <si>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</si>
  <si>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</si>
  <si>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</si>
  <si>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</si>
  <si>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</si>
  <si>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</si>
  <si>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</si>
  <si>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</si>
  <si>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</si>
  <si>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</si>
  <si>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</si>
  <si>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</si>
  <si>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</si>
  <si>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</si>
  <si>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</si>
  <si>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</si>
  <si>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</si>
  <si>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</si>
  <si>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</si>
  <si>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</si>
  <si>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</si>
  <si>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</si>
  <si>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</si>
  <si>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</si>
  <si>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</si>
  <si>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</si>
  <si>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</si>
  <si>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</si>
  <si>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</si>
  <si>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</si>
  <si>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</si>
  <si>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</si>
  <si>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</si>
  <si>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</si>
  <si>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</si>
  <si>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</si>
  <si>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</si>
  <si>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</si>
  <si>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</si>
  <si>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</si>
  <si>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</si>
  <si>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</si>
  <si>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</si>
  <si>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</si>
  <si>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</si>
  <si>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</si>
  <si>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</si>
  <si>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</si>
  <si>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</si>
  <si>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</si>
  <si>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</si>
  <si>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</si>
  <si>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</si>
  <si>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</si>
  <si>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</si>
  <si>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</si>
  <si>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</si>
  <si>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</si>
  <si>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</si>
  <si>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</si>
  <si>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</si>
  <si>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</si>
  <si>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</si>
  <si>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</si>
  <si>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</si>
  <si>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</si>
  <si>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</si>
  <si>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</si>
  <si>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</si>
  <si>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</si>
  <si>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</si>
  <si>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</si>
  <si>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</si>
  <si>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</si>
  <si>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</si>
  <si>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</si>
  <si>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</si>
  <si>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</si>
  <si>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</si>
  <si>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</si>
  <si>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</si>
  <si>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</si>
  <si>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</si>
  <si>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</si>
  <si>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</si>
  <si>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</si>
  <si>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</si>
  <si>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</si>
  <si>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</si>
  <si>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</si>
  <si>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</si>
  <si>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</si>
  <si>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</si>
  <si>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</si>
  <si>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</si>
  <si>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</si>
  <si>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</si>
  <si>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</si>
  <si>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</si>
  <si>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</si>
  <si>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</si>
  <si>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</si>
  <si>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</si>
  <si>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</si>
  <si>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</si>
  <si>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</si>
  <si>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</si>
  <si>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</si>
  <si>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</si>
  <si>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</si>
  <si>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</si>
  <si>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</si>
  <si>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</si>
  <si>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</si>
  <si>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</si>
  <si>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</si>
  <si>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</si>
  <si>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</si>
  <si>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</si>
  <si>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</si>
  <si>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</si>
  <si>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</si>
  <si>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</si>
  <si>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</si>
  <si>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</si>
  <si>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</si>
  <si>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</si>
  <si>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</si>
  <si>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</si>
  <si>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</si>
  <si>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</si>
  <si>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</si>
  <si>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</si>
  <si>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</si>
  <si>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</si>
  <si>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</si>
  <si>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</si>
  <si>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</si>
  <si>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</si>
  <si>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</si>
  <si>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</si>
  <si>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</si>
  <si>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</si>
  <si>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</si>
  <si>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</si>
  <si>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</si>
  <si>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</si>
  <si>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</si>
  <si>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</si>
  <si>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</si>
  <si>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</si>
  <si>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</si>
  <si>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</si>
  <si>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</si>
  <si>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</si>
  <si>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</si>
  <si>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</si>
  <si>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</si>
  <si>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</si>
  <si>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</si>
  <si>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</si>
  <si>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</si>
  <si>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</si>
  <si>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</si>
  <si>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</si>
  <si>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</si>
  <si>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</si>
  <si>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</si>
  <si>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</si>
  <si>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</si>
  <si>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</si>
  <si>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</si>
  <si>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</si>
  <si>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</si>
  <si>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</si>
  <si>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</si>
  <si>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</si>
  <si>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</si>
  <si>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</si>
  <si>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</si>
  <si>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</si>
  <si>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</si>
  <si>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</si>
  <si>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</si>
  <si>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</si>
  <si>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</si>
  <si>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</si>
  <si>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</si>
  <si>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</si>
  <si>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</si>
  <si>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</si>
  <si>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</si>
  <si>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</si>
  <si>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</si>
  <si>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</si>
  <si>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</si>
  <si>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</si>
  <si>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</si>
  <si>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</si>
  <si>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</si>
  <si>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</si>
  <si>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</si>
  <si>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</si>
  <si>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</si>
  <si>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</si>
  <si>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</si>
  <si>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</si>
  <si>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</si>
  <si>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</si>
  <si>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</si>
  <si>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</si>
  <si>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</si>
  <si>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</si>
  <si>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</si>
  <si>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</si>
  <si>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</si>
  <si>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</si>
  <si>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</si>
  <si>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</si>
  <si>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</si>
  <si>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</si>
  <si>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</si>
  <si>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</si>
  <si>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</si>
  <si>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</si>
  <si>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</si>
  <si>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</si>
  <si>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</si>
  <si>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</si>
  <si>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</si>
  <si>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</si>
  <si>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</si>
  <si>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</si>
  <si>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</si>
  <si>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</si>
  <si>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</si>
  <si>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</si>
  <si>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</si>
  <si>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</si>
  <si>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</si>
  <si>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</si>
  <si>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</si>
  <si>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</si>
  <si>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</si>
  <si>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</si>
  <si>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</si>
  <si>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</si>
  <si>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</si>
  <si>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</si>
  <si>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</si>
  <si>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</si>
  <si>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</si>
  <si>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</si>
  <si>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</si>
  <si>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</si>
  <si>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</si>
  <si>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</si>
  <si>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</si>
  <si>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</si>
  <si>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</si>
  <si>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</si>
  <si>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</si>
  <si>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</si>
  <si>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</si>
  <si>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</si>
  <si>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</si>
  <si>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</si>
  <si>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</si>
  <si>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</si>
  <si>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</si>
  <si>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</si>
  <si>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</si>
  <si>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</si>
  <si>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</si>
  <si>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</si>
  <si>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</si>
  <si>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</si>
  <si>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</si>
  <si>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</si>
  <si>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</si>
  <si>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</si>
  <si>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</si>
  <si>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</si>
  <si>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</si>
  <si>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</si>
  <si>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</si>
  <si>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</si>
  <si>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</si>
  <si>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</si>
  <si>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</si>
  <si>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</si>
  <si>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</si>
  <si>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</si>
  <si>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</si>
  <si>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</si>
  <si>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</si>
  <si>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</si>
  <si>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</si>
  <si>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</si>
  <si>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</si>
  <si>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</si>
  <si>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</si>
  <si>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</si>
  <si>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</si>
  <si>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</si>
  <si>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</si>
  <si>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</si>
  <si>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</si>
  <si>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</si>
  <si>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</si>
  <si>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</si>
  <si>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</si>
  <si>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</si>
  <si>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</si>
  <si>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</si>
  <si>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</si>
  <si>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</si>
  <si>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</si>
  <si>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</si>
  <si>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</si>
  <si>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</si>
  <si>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</si>
  <si>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</si>
  <si>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</si>
  <si>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</si>
  <si>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</si>
  <si>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</si>
  <si>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</si>
  <si>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</si>
  <si>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</si>
  <si>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</si>
  <si>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</si>
  <si>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</si>
  <si>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</si>
  <si>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</si>
  <si>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</si>
  <si>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</si>
  <si>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</si>
  <si>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</si>
  <si>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</si>
  <si>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</si>
  <si>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</si>
  <si>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</si>
  <si>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</si>
  <si>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</si>
  <si>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</si>
  <si>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</si>
  <si>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</si>
  <si>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</si>
  <si>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</si>
  <si>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</si>
  <si>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</si>
  <si>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</si>
  <si>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</si>
  <si>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</si>
  <si>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</si>
  <si>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</si>
  <si>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</si>
  <si>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</si>
  <si>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</si>
  <si>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</si>
  <si>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</si>
  <si>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</si>
  <si>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</si>
  <si>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</si>
  <si>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</si>
  <si>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</si>
  <si>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</si>
  <si>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</si>
  <si>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</si>
  <si>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</si>
  <si>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</si>
  <si>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</si>
  <si>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</si>
  <si>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</si>
  <si>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</si>
  <si>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</si>
  <si>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</si>
  <si>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</si>
  <si>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</si>
  <si>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</si>
  <si>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</si>
  <si>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</si>
  <si>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</si>
  <si>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</si>
  <si>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</si>
  <si>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</si>
  <si>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</si>
  <si>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</si>
  <si>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</si>
  <si>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</si>
  <si>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</si>
  <si>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</si>
  <si>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</si>
  <si>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</si>
  <si>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</si>
  <si>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</si>
  <si>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</si>
  <si>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</si>
  <si>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</si>
  <si>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</si>
  <si>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</si>
  <si>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</si>
  <si>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</si>
  <si>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</si>
  <si>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</si>
  <si>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</si>
  <si>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</si>
  <si>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</si>
  <si>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</si>
  <si>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</si>
  <si>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</si>
  <si>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</si>
  <si>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</si>
  <si>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</si>
  <si>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</si>
  <si>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</si>
  <si>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</si>
  <si>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</si>
  <si>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</si>
  <si>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</si>
  <si>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</si>
  <si>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</si>
  <si>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</si>
  <si>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</si>
  <si>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</si>
  <si>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</si>
  <si>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</si>
  <si>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</si>
  <si>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</si>
  <si>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</si>
  <si>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</si>
  <si>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</si>
  <si>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</si>
  <si>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</si>
  <si>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</si>
  <si>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</si>
  <si>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</si>
  <si>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</si>
  <si>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</si>
  <si>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</si>
  <si>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</si>
  <si>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</si>
  <si>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</si>
  <si>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</si>
  <si>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</si>
  <si>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</si>
  <si>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</si>
  <si>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</si>
  <si>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</si>
  <si>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</si>
  <si>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</si>
  <si>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</si>
  <si>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</si>
  <si>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</si>
  <si>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</si>
  <si>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</si>
  <si>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</si>
  <si>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</si>
  <si>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</si>
  <si>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</si>
  <si>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</si>
  <si>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</si>
  <si>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</si>
  <si>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</si>
  <si>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</si>
  <si>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</si>
  <si>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</si>
  <si>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</si>
  <si>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</si>
  <si>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</si>
  <si>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</si>
  <si>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</si>
  <si>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</si>
  <si>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</si>
  <si>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</si>
  <si>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</si>
  <si>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</si>
  <si>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</si>
  <si>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</si>
  <si>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</si>
  <si>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</si>
  <si>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</si>
  <si>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</si>
  <si>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</si>
  <si>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</si>
  <si>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</si>
  <si>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</si>
  <si>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</si>
  <si>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</si>
  <si>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</si>
  <si>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</si>
  <si>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</si>
  <si>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</si>
  <si>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</si>
  <si>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</si>
  <si>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</si>
  <si>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</si>
  <si>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</si>
  <si>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</si>
  <si>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</si>
  <si>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</si>
  <si>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</si>
  <si>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</si>
  <si>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</si>
  <si>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</si>
  <si>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</si>
  <si>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</si>
  <si>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</si>
  <si>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</si>
  <si>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</si>
  <si>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</si>
  <si>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</si>
  <si>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</si>
  <si>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</si>
  <si>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</si>
  <si>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</si>
  <si>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</si>
  <si>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</si>
  <si>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</si>
  <si>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</si>
  <si>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</si>
  <si>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</si>
  <si>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</si>
  <si>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</si>
  <si>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</si>
  <si>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</si>
  <si>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</si>
  <si>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</si>
  <si>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</si>
  <si>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</si>
  <si>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</si>
  <si>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</si>
  <si>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</si>
  <si>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</si>
  <si>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</si>
  <si>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</si>
  <si>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</si>
  <si>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</si>
  <si>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</si>
  <si>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</si>
  <si>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</si>
  <si>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</si>
  <si>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</si>
  <si>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</si>
  <si>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</si>
  <si>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</si>
  <si>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</si>
  <si>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</si>
  <si>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</si>
  <si>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</si>
  <si>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</si>
  <si>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</si>
  <si>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</si>
  <si>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</si>
  <si>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</si>
  <si>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</si>
  <si>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</si>
  <si>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</si>
  <si>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</si>
  <si>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</si>
  <si>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</si>
  <si>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</si>
  <si>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</si>
  <si>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</si>
  <si>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</si>
  <si>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</si>
  <si>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</si>
  <si>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</si>
  <si>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</si>
  <si>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</si>
  <si>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</si>
  <si>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</si>
  <si>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</si>
  <si>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</si>
  <si>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</si>
  <si>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</si>
  <si>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</si>
  <si>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</si>
  <si>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</si>
  <si>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</si>
  <si>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</si>
  <si>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</si>
  <si>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</si>
  <si>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</si>
  <si>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</si>
  <si>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</si>
  <si>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</si>
  <si>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</si>
  <si>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</si>
  <si>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</si>
  <si>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</si>
  <si>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</si>
  <si>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</si>
  <si>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</si>
  <si>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</si>
  <si>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</si>
  <si>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</si>
  <si>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</si>
  <si>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</si>
  <si>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</si>
  <si>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</si>
  <si>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</si>
  <si>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</si>
  <si>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</si>
  <si>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</si>
  <si>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</si>
  <si>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</si>
  <si>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</si>
  <si>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</si>
  <si>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</si>
  <si>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</si>
  <si>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</si>
  <si>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</si>
  <si>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</si>
  <si>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</si>
  <si>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</si>
  <si>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</si>
  <si>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</si>
  <si>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</si>
  <si>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</si>
  <si>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</si>
  <si>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</si>
  <si>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</si>
  <si>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</si>
  <si>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</si>
  <si>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</si>
  <si>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</si>
  <si>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</si>
  <si>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</si>
  <si>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</si>
  <si>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</si>
  <si>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</si>
  <si>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</si>
  <si>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</si>
  <si>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</si>
  <si>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</si>
  <si>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</si>
  <si>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</si>
  <si>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</si>
  <si>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</si>
  <si>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</si>
  <si>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</si>
  <si>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</si>
  <si>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</si>
  <si>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</si>
  <si>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</si>
  <si>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</si>
  <si>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</si>
  <si>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</si>
  <si>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</si>
  <si>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</si>
  <si>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</si>
  <si>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</si>
  <si>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</si>
  <si>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</si>
  <si>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</si>
  <si>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</si>
  <si>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</si>
  <si>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</si>
  <si>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</si>
  <si>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</si>
  <si>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</si>
  <si>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</si>
  <si>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</si>
  <si>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</si>
  <si>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</si>
  <si>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</si>
  <si>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</si>
  <si>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</si>
  <si>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</si>
  <si>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</si>
  <si>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</si>
  <si>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</si>
  <si>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</si>
  <si>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</si>
  <si>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</si>
  <si>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</si>
  <si>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</si>
  <si>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</si>
  <si>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</si>
  <si>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</si>
  <si>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</si>
  <si>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</si>
  <si>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</si>
  <si>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</si>
  <si>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</si>
  <si>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</si>
  <si>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</si>
  <si>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</si>
  <si>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</si>
  <si>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</si>
  <si>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</si>
  <si>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</si>
  <si>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</si>
  <si>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</si>
  <si>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</si>
  <si>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</si>
  <si>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</si>
  <si>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</si>
  <si>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</si>
  <si>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</si>
  <si>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</si>
  <si>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</si>
  <si>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</si>
  <si>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</si>
  <si>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</si>
  <si>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</si>
  <si>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</si>
  <si>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</si>
  <si>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</si>
  <si>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</si>
  <si>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</si>
  <si>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</si>
  <si>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</si>
  <si>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</si>
  <si>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</si>
  <si>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</si>
  <si>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</si>
  <si>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</si>
  <si>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</si>
  <si>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</si>
  <si>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</si>
  <si>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</si>
  <si>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</si>
  <si>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</si>
  <si>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</si>
  <si>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</si>
  <si>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</si>
  <si>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</si>
  <si>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</si>
  <si>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</si>
  <si>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</si>
  <si>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</si>
  <si>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</si>
  <si>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</si>
  <si>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</si>
  <si>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</si>
  <si>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</si>
  <si>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</si>
  <si>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</si>
  <si>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</si>
  <si>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</si>
  <si>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</si>
  <si>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</si>
  <si>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</si>
  <si>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</si>
  <si>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</si>
  <si>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</si>
  <si>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</si>
  <si>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</si>
  <si>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</si>
  <si>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</si>
  <si>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</si>
  <si>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</si>
  <si>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</si>
  <si>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</si>
  <si>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</si>
  <si>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</si>
  <si>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</si>
  <si>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</si>
  <si>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</si>
  <si>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</si>
  <si>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</si>
  <si>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</si>
  <si>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</si>
  <si>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</si>
  <si>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</si>
  <si>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</si>
  <si>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</si>
  <si>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</si>
  <si>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</si>
  <si>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</si>
  <si>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</si>
  <si>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</si>
  <si>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</si>
  <si>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</si>
  <si>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</si>
  <si>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</si>
  <si>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</si>
  <si>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</si>
  <si>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</si>
  <si>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</si>
  <si>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</si>
  <si>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</si>
  <si>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</si>
  <si>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</si>
  <si>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</si>
  <si>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</si>
  <si>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</si>
  <si>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</si>
  <si>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</si>
  <si>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</si>
  <si>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</si>
  <si>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</si>
  <si>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</si>
  <si>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</si>
  <si>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</si>
  <si>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</si>
  <si>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</si>
  <si>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</si>
  <si>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</si>
  <si>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</si>
  <si>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</si>
  <si>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</si>
  <si>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</si>
  <si>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</si>
  <si>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</si>
  <si>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</si>
  <si>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</si>
  <si>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</si>
  <si>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</si>
  <si>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</si>
  <si>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</si>
  <si>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</si>
  <si>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</si>
  <si>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</si>
  <si>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</si>
  <si>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</si>
  <si>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</si>
  <si>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</si>
  <si>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</si>
  <si>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</si>
  <si>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</si>
  <si>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</si>
  <si>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</si>
  <si>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</si>
  <si>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</si>
  <si>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</si>
  <si>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</si>
  <si>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</si>
  <si>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</si>
  <si>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</si>
  <si>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</si>
  <si>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</si>
  <si>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</si>
  <si>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</si>
  <si>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</si>
  <si>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</si>
  <si>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</si>
  <si>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</si>
  <si>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</si>
  <si>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</si>
  <si>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</si>
  <si>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</si>
  <si>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</si>
  <si>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</si>
  <si>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</si>
  <si>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</si>
  <si>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</si>
  <si>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</si>
  <si>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</si>
  <si>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</si>
  <si>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</si>
  <si>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</si>
  <si>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</si>
  <si>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</si>
  <si>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</si>
  <si>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</si>
  <si>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</si>
  <si>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</si>
  <si>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</si>
  <si>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</si>
  <si>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</si>
  <si>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</si>
  <si>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</si>
  <si>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</si>
  <si>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</si>
  <si>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</si>
  <si>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</si>
  <si>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</si>
  <si>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</si>
  <si>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</si>
  <si>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</si>
  <si>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</si>
  <si>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</si>
  <si>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</si>
  <si>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</si>
  <si>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</si>
  <si>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</si>
  <si>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</si>
  <si>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</si>
  <si>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</si>
  <si>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</si>
  <si>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</si>
  <si>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</si>
  <si>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</si>
  <si>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</si>
  <si>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</si>
  <si>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</si>
  <si>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</si>
  <si>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</si>
  <si>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</si>
  <si>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</si>
  <si>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</si>
  <si>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</si>
  <si>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</si>
  <si>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</si>
  <si>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</si>
  <si>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</si>
  <si>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</si>
  <si>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</si>
  <si>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</si>
  <si>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</si>
  <si>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</si>
  <si>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</si>
  <si>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</si>
  <si>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</si>
  <si>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</si>
  <si>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</si>
  <si>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</si>
  <si>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</si>
  <si>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</si>
  <si>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</si>
  <si>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</si>
  <si>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</si>
  <si>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</si>
  <si>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</si>
  <si>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</si>
  <si>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</si>
  <si>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</si>
  <si>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</si>
  <si>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</si>
  <si>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</si>
  <si>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</si>
  <si>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</si>
  <si>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</si>
  <si>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</si>
  <si>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</si>
  <si>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</si>
  <si>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</si>
  <si>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</si>
  <si>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</si>
  <si>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</si>
  <si>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</si>
  <si>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</si>
  <si>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</si>
  <si>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</si>
  <si>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</si>
  <si>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</si>
  <si>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</si>
  <si>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</si>
  <si>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</si>
  <si>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</si>
  <si>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</si>
  <si>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</si>
  <si>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</si>
  <si>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</si>
  <si>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</si>
  <si>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</si>
  <si>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</si>
  <si>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</si>
  <si>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</si>
  <si>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</si>
  <si>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</si>
  <si>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</si>
  <si>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</si>
  <si>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</si>
  <si>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</si>
  <si>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</si>
  <si>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</si>
  <si>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</si>
  <si>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</si>
  <si>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</si>
  <si>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</si>
  <si>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</si>
  <si>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</si>
  <si>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</si>
  <si>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</si>
  <si>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</si>
  <si>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</si>
  <si>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</si>
  <si>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</si>
  <si>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</si>
  <si>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</si>
  <si>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</si>
  <si>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</si>
  <si>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</si>
  <si>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</si>
  <si>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</si>
  <si>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</si>
  <si>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</si>
  <si>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</si>
  <si>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</si>
  <si>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</si>
  <si>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</si>
  <si>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</si>
  <si>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</si>
  <si>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</si>
  <si>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</si>
  <si>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</si>
  <si>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</si>
  <si>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</si>
  <si>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</si>
  <si>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</si>
  <si>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</si>
  <si>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</si>
  <si>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</si>
  <si>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</si>
  <si>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</si>
  <si>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</si>
  <si>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</si>
  <si>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</si>
  <si>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</si>
  <si>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</si>
  <si>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</si>
  <si>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</si>
  <si>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</si>
  <si>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</si>
  <si>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</si>
  <si>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</si>
  <si>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</si>
  <si>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</si>
  <si>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</si>
  <si>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</si>
  <si>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</si>
  <si>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</si>
  <si>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</si>
  <si>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</si>
  <si>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</si>
  <si>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</si>
  <si>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</si>
  <si>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</si>
  <si>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</si>
  <si>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</si>
  <si>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</si>
  <si>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</si>
  <si>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</si>
  <si>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</si>
  <si>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</si>
  <si>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</si>
  <si>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</si>
  <si>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</si>
  <si>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</si>
  <si>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</si>
  <si>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</si>
  <si>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</si>
  <si>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</si>
  <si>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</si>
  <si>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</si>
  <si>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</si>
  <si>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</si>
  <si>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</si>
  <si>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</si>
  <si>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</si>
  <si>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</si>
  <si>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</si>
  <si>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</si>
  <si>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</si>
  <si>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</si>
  <si>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</si>
  <si>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</si>
  <si>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</si>
  <si>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</si>
  <si>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</si>
  <si>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</si>
  <si>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</si>
  <si>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</si>
  <si>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</si>
  <si>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</si>
  <si>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</si>
  <si>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</si>
  <si>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</si>
  <si>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</si>
  <si>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</si>
  <si>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</si>
  <si>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</si>
  <si>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</si>
  <si>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</si>
  <si>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</si>
  <si>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</si>
  <si>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</si>
  <si>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</si>
  <si>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</si>
  <si>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</si>
  <si>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</si>
  <si>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</si>
  <si>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</si>
  <si>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</si>
  <si>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</si>
  <si>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</si>
  <si>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</si>
  <si>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</si>
  <si>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</si>
  <si>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</si>
  <si>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</si>
  <si>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</si>
  <si>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</si>
  <si>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</si>
  <si>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</si>
  <si>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</si>
  <si>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</si>
  <si>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</si>
  <si>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</si>
  <si>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</si>
  <si>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</si>
  <si>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</si>
  <si>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</si>
  <si>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</si>
  <si>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</si>
  <si>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</si>
  <si>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</si>
  <si>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</si>
  <si>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</si>
  <si>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</si>
  <si>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</si>
  <si>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</si>
  <si>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</si>
  <si>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</si>
  <si>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</si>
  <si>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</si>
  <si>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</si>
  <si>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</si>
  <si>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</si>
  <si>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</si>
  <si>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</si>
  <si>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</si>
  <si>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</si>
  <si>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</si>
  <si>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</si>
  <si>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</si>
  <si>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</si>
  <si>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</si>
  <si>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</si>
  <si>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</si>
  <si>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</si>
  <si>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</si>
  <si>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</si>
  <si>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</si>
  <si>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</si>
  <si>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</si>
  <si>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</si>
  <si>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</si>
  <si>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</si>
  <si>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</si>
  <si>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</si>
  <si>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</si>
  <si>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</si>
  <si>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</si>
  <si>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</si>
  <si>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</si>
  <si>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</si>
  <si>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</si>
  <si>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</si>
  <si>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</si>
  <si>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</si>
  <si>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</si>
  <si>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</si>
  <si>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</si>
  <si>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</si>
  <si>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</si>
  <si>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</si>
  <si>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</si>
  <si>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</si>
  <si>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</si>
  <si>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</si>
  <si>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</si>
  <si>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</si>
  <si>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</si>
  <si>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</si>
  <si>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</si>
  <si>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</si>
  <si>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</si>
  <si>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</si>
  <si>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</si>
  <si>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</si>
  <si>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</si>
  <si>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</si>
  <si>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</si>
  <si>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</si>
  <si>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</si>
  <si>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</si>
  <si>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</si>
  <si>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</si>
  <si>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</si>
  <si>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</si>
  <si>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</si>
  <si>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</si>
  <si>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</si>
  <si>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</si>
  <si>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</si>
  <si>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</si>
  <si>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</si>
  <si>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</si>
  <si>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</si>
  <si>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</si>
  <si>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</si>
  <si>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</si>
  <si>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</si>
  <si>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</si>
  <si>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</si>
  <si>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</si>
  <si>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</si>
  <si>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</si>
  <si>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</si>
  <si>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</si>
  <si>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</si>
  <si>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</si>
  <si>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</si>
  <si>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</si>
  <si>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</si>
  <si>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</si>
  <si>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</si>
  <si>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</si>
  <si>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</si>
  <si>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</si>
  <si>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</si>
  <si>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</si>
  <si>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</si>
  <si>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</si>
  <si>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</si>
  <si>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</si>
  <si>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</si>
  <si>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</si>
  <si>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</si>
  <si>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</si>
  <si>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</si>
  <si>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</si>
  <si>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</si>
  <si>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</si>
  <si>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</si>
  <si>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</si>
  <si>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</si>
  <si>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</si>
  <si>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</si>
  <si>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</si>
  <si>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</si>
  <si>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</si>
  <si>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</si>
  <si>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</si>
  <si>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</si>
  <si>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</si>
  <si>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</si>
  <si>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</si>
  <si>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</si>
  <si>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</si>
  <si>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</si>
  <si>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</si>
  <si>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</si>
  <si>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</si>
  <si>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</si>
  <si>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</si>
  <si>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</si>
  <si>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</si>
  <si>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</si>
  <si>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</si>
  <si>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</si>
  <si>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</si>
  <si>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</si>
  <si>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</si>
  <si>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</si>
  <si>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</si>
  <si>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</si>
  <si>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</si>
  <si>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</si>
  <si>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</si>
  <si>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</si>
  <si>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</si>
  <si>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</si>
  <si>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</si>
  <si>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</si>
  <si>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</si>
  <si>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</si>
  <si>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</si>
  <si>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</si>
  <si>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</si>
  <si>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</si>
  <si>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</si>
  <si>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</si>
  <si>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</si>
  <si>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</si>
  <si>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</si>
  <si>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</si>
  <si>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</si>
  <si>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</si>
  <si>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</si>
  <si>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</si>
  <si>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</si>
  <si>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</si>
  <si>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</si>
  <si>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</si>
  <si>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</si>
  <si>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</si>
  <si>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</si>
  <si>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</si>
  <si>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</si>
  <si>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</si>
  <si>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</si>
  <si>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</si>
  <si>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</si>
  <si>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</si>
  <si>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</si>
  <si>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</si>
  <si>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</si>
  <si>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</si>
  <si>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</si>
  <si>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</si>
  <si>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</si>
  <si>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</si>
  <si>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</si>
  <si>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</si>
  <si>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</si>
  <si>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</si>
  <si>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</si>
  <si>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</si>
  <si>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</si>
  <si>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</si>
  <si>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</si>
  <si>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</si>
  <si>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</si>
  <si>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</si>
  <si>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</si>
  <si>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</si>
  <si>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</si>
  <si>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</si>
  <si>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</si>
  <si>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</si>
  <si>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</si>
  <si>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</si>
  <si>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</si>
  <si>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</si>
  <si>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</si>
  <si>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</si>
  <si>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</si>
  <si>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</si>
  <si>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</si>
  <si>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</si>
  <si>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</si>
  <si>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</si>
  <si>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</si>
  <si>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</si>
  <si>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</si>
  <si>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</si>
  <si>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</si>
  <si>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</si>
  <si>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</si>
  <si>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</si>
  <si>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</si>
  <si>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</si>
  <si>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</si>
  <si>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</si>
  <si>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</si>
  <si>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</si>
  <si>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</si>
  <si>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</si>
  <si>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</si>
  <si>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</si>
  <si>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</si>
  <si>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</si>
  <si>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</si>
  <si>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</si>
  <si>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</si>
  <si>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</si>
  <si>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</si>
  <si>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</si>
  <si>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</si>
  <si>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</si>
  <si>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</si>
  <si>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</si>
  <si>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</si>
  <si>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</si>
  <si>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</si>
  <si>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</si>
  <si>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</si>
  <si>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</si>
  <si>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</si>
  <si>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</si>
  <si>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</si>
  <si>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</si>
  <si>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</si>
  <si>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</si>
  <si>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</si>
  <si>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</si>
  <si>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</si>
  <si>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</si>
  <si>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</si>
  <si>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</si>
  <si>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</si>
  <si>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</si>
  <si>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</si>
  <si>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</si>
  <si>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</si>
  <si>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</si>
  <si>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</si>
  <si>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</si>
  <si>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</si>
  <si>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</si>
  <si>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</si>
  <si>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</si>
  <si>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</si>
  <si>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</si>
  <si>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</si>
  <si>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</si>
  <si>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</si>
  <si>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</si>
  <si>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</si>
  <si>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</si>
  <si>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</si>
  <si>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</si>
  <si>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</si>
  <si>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</si>
  <si>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</si>
  <si>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</si>
  <si>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</si>
  <si>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</si>
  <si>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</si>
  <si>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</si>
  <si>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</si>
  <si>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</si>
  <si>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</si>
  <si>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</si>
  <si>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</si>
  <si>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</si>
  <si>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</si>
  <si>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</si>
  <si>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</si>
  <si>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</si>
  <si>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</si>
  <si>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</si>
  <si>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</si>
  <si>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</si>
  <si>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</si>
  <si>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</si>
  <si>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</si>
  <si>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</si>
  <si>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</si>
  <si>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</si>
  <si>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</si>
  <si>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</si>
  <si>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</si>
  <si>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</si>
  <si>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</si>
  <si>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</si>
  <si>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</si>
  <si>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</si>
  <si>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</si>
  <si>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</si>
  <si>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</si>
  <si>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</si>
  <si>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</si>
  <si>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</si>
  <si>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</si>
  <si>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</si>
  <si>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</si>
  <si>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</si>
  <si>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</si>
  <si>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</si>
  <si>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</si>
  <si>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</si>
  <si>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</si>
  <si>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</si>
  <si>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</si>
  <si>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</si>
  <si>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</si>
  <si>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</si>
  <si>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</si>
  <si>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</si>
  <si>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</si>
  <si>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</si>
  <si>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</si>
  <si>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</si>
  <si>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</si>
  <si>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</si>
  <si>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</si>
  <si>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</si>
  <si>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</si>
  <si>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</si>
  <si>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</si>
  <si>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</si>
  <si>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</si>
  <si>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</si>
  <si>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</si>
  <si>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</si>
  <si>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</si>
  <si>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</si>
  <si>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</si>
  <si>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</si>
  <si>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</si>
  <si>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</si>
  <si>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</si>
  <si>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</si>
  <si>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</si>
  <si>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</si>
  <si>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</si>
  <si>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</si>
  <si>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</si>
  <si>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</si>
  <si>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</si>
  <si>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</si>
  <si>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</si>
  <si>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</si>
  <si>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</si>
  <si>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</si>
  <si>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</si>
  <si>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</si>
  <si>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</si>
  <si>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</si>
  <si>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</si>
  <si>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</si>
  <si>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</si>
  <si>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</si>
  <si>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</si>
  <si>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</si>
  <si>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</si>
  <si>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</si>
  <si>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</si>
  <si>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</si>
  <si>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</si>
  <si>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</si>
  <si>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</si>
  <si>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</si>
  <si>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</si>
  <si>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</si>
  <si>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</si>
  <si>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</si>
  <si>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</si>
  <si>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</si>
  <si>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</si>
  <si>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</si>
  <si>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</si>
  <si>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</si>
  <si>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</si>
  <si>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</si>
  <si>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</si>
  <si>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</si>
  <si>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</si>
  <si>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</si>
  <si>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</si>
  <si>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</si>
  <si>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</si>
  <si>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</si>
  <si>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</si>
  <si>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</si>
  <si>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</si>
  <si>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</si>
  <si>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</si>
  <si>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</si>
  <si>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</si>
  <si>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</si>
  <si>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</si>
  <si>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</si>
  <si>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</si>
  <si>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</si>
  <si>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</si>
  <si>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</si>
  <si>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</si>
  <si>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</si>
  <si>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</si>
  <si>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</si>
  <si>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</si>
  <si>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</si>
  <si>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</si>
  <si>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</si>
  <si>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</si>
  <si>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</si>
  <si>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</si>
  <si>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</si>
  <si>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</si>
  <si>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</si>
  <si>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</si>
  <si>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</si>
  <si>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</si>
  <si>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</si>
  <si>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</si>
  <si>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</si>
  <si>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</si>
  <si>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</si>
  <si>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</si>
  <si>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</si>
  <si>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</si>
  <si>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</si>
  <si>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</si>
  <si>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</si>
  <si>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</si>
  <si>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</si>
  <si>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</si>
  <si>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</si>
  <si>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</si>
  <si>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</si>
  <si>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</si>
  <si>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</si>
  <si>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</si>
  <si>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</si>
  <si>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</si>
  <si>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</si>
  <si>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</si>
  <si>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</si>
  <si>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</si>
  <si>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</si>
  <si>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</si>
  <si>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</si>
  <si>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</si>
  <si>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</si>
  <si>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</si>
  <si>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</si>
  <si>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</si>
  <si>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</si>
  <si>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</si>
  <si>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</si>
  <si>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</si>
  <si>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</si>
  <si>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</si>
  <si>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</si>
  <si>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</si>
  <si>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</si>
  <si>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</si>
  <si>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</si>
  <si>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</si>
  <si>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</si>
  <si>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</si>
  <si>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</si>
  <si>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</si>
  <si>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</si>
  <si>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</si>
  <si>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</si>
  <si>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</si>
  <si>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</si>
  <si>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</si>
  <si>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</si>
  <si>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</si>
  <si>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</si>
  <si>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</si>
  <si>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</si>
  <si>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</si>
  <si>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</si>
  <si>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</si>
  <si>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</si>
  <si>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</si>
  <si>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</si>
  <si>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</si>
  <si>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</si>
  <si>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</si>
  <si>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</si>
  <si>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</si>
  <si>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</si>
  <si>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</si>
  <si>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</si>
  <si>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</si>
  <si>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</si>
  <si>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</si>
  <si>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</si>
  <si>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</si>
  <si>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</si>
  <si>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</si>
  <si>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</si>
  <si>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</si>
  <si>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</si>
  <si>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</si>
  <si>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</si>
  <si>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</si>
  <si>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</si>
  <si>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</si>
  <si>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</si>
  <si>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</si>
  <si>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</si>
  <si>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</si>
  <si>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</si>
  <si>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</si>
  <si>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</si>
  <si>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</si>
  <si>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</si>
  <si>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</si>
  <si>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</si>
  <si>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</si>
  <si>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</si>
  <si>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</si>
  <si>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</si>
  <si>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</si>
  <si>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</si>
  <si>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</si>
  <si>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</si>
  <si>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</si>
  <si>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</si>
  <si>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</si>
  <si>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</si>
  <si>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</si>
  <si>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</si>
  <si>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</si>
  <si>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</si>
  <si>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</si>
  <si>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</si>
  <si>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</si>
  <si>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</si>
  <si>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</si>
  <si>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</si>
  <si>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</si>
  <si>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</si>
  <si>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</si>
  <si>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</si>
  <si>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</si>
  <si>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</si>
  <si>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</si>
  <si>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</si>
  <si>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</si>
  <si>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</si>
  <si>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</si>
  <si>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</si>
  <si>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</si>
  <si>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</si>
  <si>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</si>
  <si>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</si>
  <si>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</si>
  <si>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</si>
  <si>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</si>
  <si>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</si>
  <si>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</si>
  <si>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</si>
  <si>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</si>
  <si>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</si>
  <si>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</si>
  <si>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</si>
  <si>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</si>
  <si>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</si>
  <si>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</si>
  <si>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</si>
  <si>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</si>
  <si>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</si>
  <si>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</si>
  <si>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</si>
  <si>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</si>
  <si>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</si>
  <si>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</si>
  <si>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</si>
  <si>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</si>
  <si>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</si>
  <si>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</si>
  <si>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</si>
  <si>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</si>
  <si>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</si>
  <si>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</si>
  <si>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</si>
  <si>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</si>
  <si>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</si>
  <si>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</si>
  <si>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</si>
  <si>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</si>
  <si>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</si>
  <si>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</si>
  <si>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</si>
  <si>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</si>
  <si>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</si>
  <si>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</si>
  <si>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</si>
  <si>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</si>
  <si>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</si>
  <si>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</si>
  <si>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</si>
  <si>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</si>
  <si>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</si>
  <si>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</si>
  <si>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</si>
  <si>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</si>
  <si>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</si>
  <si>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</si>
  <si>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</si>
  <si>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</si>
  <si>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</si>
  <si>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</si>
  <si>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</si>
  <si>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</si>
  <si>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</si>
  <si>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</si>
  <si>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</si>
  <si>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</si>
  <si>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</si>
  <si>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</si>
  <si>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</si>
  <si>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</si>
  <si>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</si>
  <si>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</si>
  <si>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</si>
  <si>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</si>
  <si>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</si>
  <si>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</si>
  <si>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</si>
  <si>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</si>
  <si>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</si>
  <si>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</si>
  <si>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</si>
  <si>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</si>
  <si>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</si>
  <si>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</si>
  <si>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</si>
  <si>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</si>
  <si>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</si>
  <si>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</si>
  <si>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</si>
  <si>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</si>
  <si>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</si>
  <si>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</si>
  <si>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</si>
  <si>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</si>
  <si>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</si>
  <si>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</si>
  <si>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</si>
  <si>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</si>
  <si>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</si>
  <si>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</si>
  <si>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</si>
  <si>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</si>
  <si>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</si>
  <si>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</si>
  <si>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</si>
  <si>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</si>
  <si>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</si>
  <si>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</si>
  <si>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</si>
  <si>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</si>
  <si>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</si>
  <si>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</si>
  <si>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</si>
  <si>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</si>
  <si>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</si>
  <si>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</si>
  <si>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</si>
  <si>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</si>
  <si>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</si>
  <si>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</si>
  <si>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</si>
  <si>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</si>
  <si>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</si>
  <si>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</si>
  <si>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</si>
  <si>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</si>
  <si>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</si>
  <si>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</si>
  <si>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</si>
  <si>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</si>
  <si>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</si>
  <si>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</si>
  <si>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</si>
  <si>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</si>
  <si>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</si>
  <si>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</si>
  <si>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</si>
  <si>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</si>
  <si>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</si>
  <si>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</si>
  <si>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</si>
  <si>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</si>
  <si>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</si>
  <si>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</si>
  <si>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</si>
  <si>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</si>
  <si>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</si>
  <si>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</si>
  <si>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</si>
  <si>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</si>
  <si>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</si>
  <si>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</si>
  <si>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</si>
  <si>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</si>
  <si>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</si>
  <si>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</si>
  <si>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</si>
  <si>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</si>
  <si>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</si>
  <si>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</si>
  <si>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</si>
  <si>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</si>
  <si>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</si>
  <si>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</si>
  <si>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</si>
  <si>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</si>
  <si>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</si>
  <si>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</si>
  <si>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</si>
  <si>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</si>
  <si>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</si>
  <si>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</si>
  <si>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</si>
  <si>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</si>
  <si>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</si>
  <si>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</si>
  <si>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</si>
  <si>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</si>
  <si>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</si>
  <si>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</si>
  <si>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</si>
  <si>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</si>
  <si>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</si>
  <si>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</si>
  <si>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</si>
  <si>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</si>
  <si>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</si>
  <si>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</si>
  <si>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</si>
  <si>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</si>
  <si>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</si>
  <si>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</si>
  <si>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</si>
  <si>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</si>
  <si>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</si>
  <si>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</si>
  <si>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</si>
  <si>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</si>
  <si>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</si>
  <si>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</si>
  <si>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</si>
  <si>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</si>
  <si>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</si>
  <si>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</si>
  <si>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</si>
  <si>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</si>
  <si>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</si>
  <si>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</si>
  <si>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</si>
  <si>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</si>
  <si>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</si>
  <si>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</si>
  <si>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</si>
  <si>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</si>
  <si>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</si>
  <si>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</si>
  <si>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</si>
  <si>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</si>
  <si>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</si>
  <si>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</si>
  <si>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</si>
  <si>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</si>
  <si>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</si>
  <si>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</si>
  <si>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</si>
  <si>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</si>
  <si>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</si>
  <si>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</si>
  <si>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</si>
  <si>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</si>
  <si>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</si>
  <si>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</si>
  <si>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</si>
  <si>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</si>
  <si>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</si>
  <si>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</si>
  <si>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</si>
  <si>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</si>
  <si>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</si>
  <si>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</si>
  <si>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</si>
  <si>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</si>
  <si>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</si>
  <si>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</si>
  <si>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</si>
  <si>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</si>
  <si>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</si>
  <si>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</si>
  <si>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</si>
  <si>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</si>
  <si>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</si>
  <si>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</si>
  <si>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</si>
  <si>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</si>
  <si>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</si>
  <si>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</si>
  <si>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</si>
  <si>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</si>
  <si>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</si>
  <si>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</si>
  <si>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</si>
  <si>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</si>
  <si>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</si>
  <si>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</si>
  <si>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</si>
  <si>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</si>
  <si>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</si>
  <si>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</si>
  <si>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</si>
  <si>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</si>
  <si>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</si>
  <si>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</si>
  <si>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</si>
  <si>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</si>
  <si>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</si>
  <si>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</si>
  <si>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</si>
  <si>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</si>
  <si>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</si>
  <si>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</si>
  <si>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</si>
  <si>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</si>
  <si>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</si>
  <si>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</si>
  <si>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</si>
  <si>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</si>
  <si>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</si>
  <si>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</si>
  <si>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</si>
  <si>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</si>
  <si>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</si>
  <si>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</si>
  <si>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</si>
  <si>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</si>
  <si>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</si>
  <si>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</si>
  <si>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</si>
  <si>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</si>
  <si>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</si>
  <si>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</si>
  <si>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</si>
  <si>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</si>
  <si>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</si>
  <si>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</si>
  <si>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</si>
  <si>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</si>
  <si>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</si>
  <si>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</si>
  <si>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</si>
  <si>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</si>
  <si>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</si>
  <si>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</si>
  <si>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</si>
  <si>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</si>
  <si>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</si>
  <si>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</si>
  <si>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</si>
  <si>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</si>
  <si>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</si>
  <si>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</si>
  <si>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</si>
  <si>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</si>
  <si>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</si>
  <si>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</si>
  <si>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</si>
  <si>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</si>
  <si>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</si>
  <si>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</si>
  <si>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</si>
  <si>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</si>
  <si>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</si>
  <si>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</si>
  <si>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</si>
  <si>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</si>
  <si>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</si>
  <si>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</si>
  <si>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</si>
  <si>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</si>
  <si>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</si>
  <si>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</si>
  <si>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</si>
  <si>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</si>
  <si>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</si>
  <si>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</si>
  <si>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</si>
  <si>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</si>
  <si>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</si>
  <si>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</si>
  <si>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</si>
  <si>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</si>
  <si>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</si>
  <si>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</si>
  <si>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</si>
  <si>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</si>
  <si>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</si>
  <si>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</si>
  <si>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</si>
  <si>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</si>
  <si>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</si>
  <si>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</si>
  <si>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</si>
  <si>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</si>
  <si>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</si>
  <si>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</si>
  <si>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</si>
  <si>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</si>
  <si>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</si>
  <si>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</si>
  <si>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</si>
  <si>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</si>
  <si>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</si>
  <si>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</si>
  <si>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</si>
  <si>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</si>
  <si>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</si>
  <si>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</si>
  <si>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</si>
  <si>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</si>
  <si>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</si>
  <si>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</si>
  <si>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</si>
  <si>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</si>
  <si>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</si>
  <si>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</si>
  <si>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</si>
  <si>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</si>
  <si>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</si>
  <si>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</si>
  <si>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</si>
  <si>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</si>
  <si>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</si>
  <si>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</si>
  <si>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</si>
  <si>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</si>
  <si>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</si>
  <si>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</si>
  <si>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</si>
  <si>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</si>
  <si>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</si>
  <si>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</si>
  <si>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</si>
  <si>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</si>
  <si>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</si>
  <si>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</si>
  <si>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</si>
  <si>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</si>
  <si>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</si>
  <si>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</si>
  <si>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</si>
  <si>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</si>
  <si>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</si>
  <si>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</si>
  <si>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</si>
  <si>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</si>
  <si>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</si>
  <si>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</si>
  <si>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</si>
  <si>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</si>
  <si>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</si>
  <si>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</si>
  <si>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</si>
  <si>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</si>
  <si>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</si>
  <si>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</si>
  <si>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</si>
  <si>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</si>
  <si>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</si>
  <si>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</si>
  <si>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</si>
  <si>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</si>
  <si>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</si>
  <si>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</si>
  <si>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</si>
  <si>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</si>
  <si>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</si>
  <si>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</si>
  <si>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</si>
  <si>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</si>
  <si>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</si>
  <si>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</si>
  <si>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</si>
  <si>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</si>
  <si>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</si>
  <si>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</si>
  <si>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</si>
  <si>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</si>
  <si>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</si>
  <si>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</si>
  <si>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</si>
  <si>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</si>
  <si>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</si>
  <si>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</si>
  <si>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</si>
  <si>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</si>
  <si>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</si>
  <si>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</si>
  <si>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</si>
  <si>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</si>
  <si>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</si>
  <si>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</si>
  <si>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</si>
  <si>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</si>
  <si>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</si>
  <si>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</si>
  <si>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</si>
  <si>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</si>
  <si>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</si>
  <si>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</si>
  <si>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</si>
  <si>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</si>
  <si>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</si>
  <si>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</si>
  <si>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</si>
  <si>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</si>
  <si>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</si>
  <si>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</si>
  <si>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</si>
  <si>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</si>
  <si>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</si>
  <si>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</si>
  <si>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</si>
  <si>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</si>
  <si>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</si>
  <si>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</si>
  <si>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</si>
  <si>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</si>
  <si>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</si>
  <si>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</si>
  <si>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</si>
  <si>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</si>
  <si>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</si>
  <si>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</si>
  <si>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</si>
  <si>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</si>
  <si>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</si>
  <si>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</si>
  <si>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</si>
  <si>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</si>
  <si>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</si>
  <si>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</si>
  <si>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</si>
  <si>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</si>
  <si>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</si>
  <si>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</si>
  <si>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</si>
  <si>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</si>
  <si>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</si>
  <si>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</si>
  <si>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</si>
  <si>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</si>
  <si>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</si>
  <si>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</si>
  <si>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</si>
  <si>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</si>
  <si>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</si>
  <si>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</si>
  <si>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</si>
  <si>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</si>
  <si>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</si>
  <si>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</si>
  <si>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</si>
  <si>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</si>
  <si>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</si>
  <si>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</si>
  <si>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</si>
  <si>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</si>
  <si>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</si>
  <si>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</si>
  <si>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</si>
  <si>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</si>
  <si>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</si>
  <si>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</si>
  <si>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</si>
  <si>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</si>
  <si>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</si>
  <si>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</si>
  <si>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</si>
  <si>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</si>
  <si>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</si>
  <si>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</si>
  <si>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</si>
  <si>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</si>
  <si>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</si>
  <si>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</si>
  <si>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</si>
  <si>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</si>
  <si>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</si>
  <si>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</si>
  <si>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</si>
  <si>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</si>
  <si>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</si>
  <si>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</si>
  <si>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</si>
  <si>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</si>
  <si>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</si>
  <si>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</si>
  <si>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</si>
  <si>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</si>
  <si>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</si>
  <si>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</si>
  <si>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</si>
  <si>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</si>
  <si>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</si>
  <si>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</si>
  <si>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</si>
  <si>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</si>
  <si>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</si>
  <si>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</si>
  <si>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</si>
  <si>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</si>
  <si>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</si>
  <si>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</si>
  <si>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</si>
  <si>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</si>
  <si>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</si>
  <si>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</si>
  <si>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</si>
  <si>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</si>
  <si>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</si>
  <si>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</si>
  <si>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</si>
  <si>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</si>
  <si>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</si>
  <si>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</si>
  <si>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</si>
  <si>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</si>
  <si>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</si>
  <si>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</si>
  <si>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</si>
  <si>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</si>
  <si>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</si>
  <si>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</si>
  <si>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</si>
  <si>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</si>
  <si>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</si>
  <si>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</si>
  <si>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</si>
  <si>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</si>
  <si>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</si>
  <si>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</si>
  <si>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</si>
  <si>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</si>
  <si>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</si>
  <si>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</si>
  <si>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</si>
  <si>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</si>
  <si>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</si>
  <si>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</si>
  <si>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</si>
  <si>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</si>
  <si>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</si>
  <si>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</si>
  <si>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</si>
  <si>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</si>
  <si>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</si>
  <si>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</si>
  <si>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</si>
  <si>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</si>
  <si>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</si>
  <si>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</si>
  <si>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</si>
  <si>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</si>
  <si>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</si>
  <si>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</si>
  <si>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</si>
  <si>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</si>
  <si>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</si>
  <si>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</si>
  <si>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</si>
  <si>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</si>
  <si>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</si>
  <si>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</si>
  <si>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</si>
  <si>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</si>
  <si>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</si>
  <si>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</si>
  <si>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</si>
  <si>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</si>
  <si>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</si>
  <si>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</si>
  <si>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</si>
  <si>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</si>
  <si>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</si>
  <si>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</si>
  <si>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</si>
  <si>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</si>
  <si>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</si>
  <si>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</si>
  <si>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</si>
  <si>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</si>
  <si>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</si>
  <si>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</si>
  <si>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</si>
  <si>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</si>
  <si>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</si>
  <si>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</si>
  <si>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</si>
  <si>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</si>
  <si>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</si>
  <si>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</si>
  <si>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</si>
  <si>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</si>
  <si>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</si>
  <si>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</si>
  <si>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</si>
  <si>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</si>
  <si>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</si>
  <si>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</si>
  <si>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</si>
  <si>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</si>
  <si>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</si>
  <si>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</si>
  <si>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</si>
  <si>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</si>
  <si>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</si>
  <si>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</si>
  <si>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</si>
  <si>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</si>
  <si>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</si>
  <si>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</si>
  <si>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</si>
  <si>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</si>
  <si>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</si>
  <si>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</si>
  <si>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</si>
  <si>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</si>
  <si>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</si>
  <si>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</si>
  <si>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</si>
  <si>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</si>
  <si>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</si>
  <si>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</si>
  <si>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</si>
  <si>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</si>
  <si>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</si>
  <si>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</si>
  <si>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</si>
  <si>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</si>
  <si>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</si>
  <si>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</si>
  <si>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</si>
  <si>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</si>
  <si>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</si>
  <si>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</si>
  <si>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</si>
  <si>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</si>
  <si>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</si>
  <si>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</si>
  <si>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</si>
  <si>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</si>
  <si>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</si>
  <si>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</si>
  <si>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</si>
  <si>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</si>
  <si>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</si>
  <si>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</si>
  <si>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</si>
  <si>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</si>
  <si>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</si>
  <si>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</si>
  <si>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</si>
  <si>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</si>
  <si>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</si>
  <si>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</si>
  <si>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</si>
  <si>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</si>
  <si>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</si>
  <si>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</si>
  <si>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</si>
  <si>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</si>
  <si>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</si>
  <si>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</si>
  <si>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</si>
  <si>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</si>
  <si>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</si>
  <si>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</si>
  <si>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</si>
  <si>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</si>
  <si>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</si>
  <si>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</si>
  <si>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</si>
  <si>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</si>
  <si>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</si>
  <si>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</si>
  <si>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</si>
  <si>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</si>
  <si>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</si>
  <si>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</si>
  <si>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</si>
  <si>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</si>
  <si>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</si>
  <si>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</si>
  <si>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</si>
  <si>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</si>
  <si>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</si>
  <si>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</si>
  <si>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</si>
  <si>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</si>
  <si>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</si>
  <si>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</si>
  <si>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</si>
  <si>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</si>
  <si>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</si>
  <si>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</si>
  <si>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</si>
  <si>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</si>
  <si>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</si>
  <si>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</si>
  <si>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</si>
  <si>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</si>
  <si>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</si>
  <si>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</si>
  <si>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</si>
  <si>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</si>
  <si>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</si>
  <si>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</si>
  <si>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</si>
  <si>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</si>
  <si>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</si>
  <si>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</si>
  <si>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</si>
  <si>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</si>
  <si>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</si>
  <si>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</si>
  <si>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</si>
  <si>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</si>
  <si>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</si>
  <si>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</si>
  <si>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</si>
  <si>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</si>
  <si>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</si>
  <si>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</si>
  <si>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</si>
  <si>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</si>
  <si>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</si>
  <si>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</si>
  <si>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</si>
  <si>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</si>
  <si>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</si>
  <si>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</si>
  <si>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</si>
  <si>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</si>
  <si>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</si>
  <si>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</si>
  <si>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</si>
  <si>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</si>
  <si>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</si>
  <si>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</si>
  <si>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</si>
  <si>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</si>
  <si>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</si>
  <si>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</si>
  <si>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</si>
  <si>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</si>
  <si>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</si>
  <si>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</si>
  <si>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</si>
  <si>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</si>
  <si>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</si>
  <si>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</si>
  <si>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</si>
  <si>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</si>
  <si>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</si>
  <si>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</si>
  <si>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</si>
  <si>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</si>
  <si>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</si>
  <si>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</si>
  <si>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</si>
  <si>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</si>
  <si>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</si>
  <si>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</si>
  <si>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</si>
  <si>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</si>
  <si>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</si>
  <si>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</si>
  <si>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</si>
  <si>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</si>
  <si>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</si>
  <si>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</si>
  <si>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</si>
  <si>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</si>
  <si>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</si>
  <si>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</si>
  <si>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</si>
  <si>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</si>
  <si>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</si>
  <si>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</si>
  <si>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</si>
  <si>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</si>
  <si>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</si>
  <si>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</si>
  <si>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</si>
  <si>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</si>
  <si>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</si>
  <si>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</si>
  <si>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</si>
  <si>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</si>
  <si>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</si>
  <si>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</si>
  <si>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</si>
  <si>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</si>
  <si>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</si>
  <si>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</si>
  <si>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</si>
  <si>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</si>
  <si>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</si>
  <si>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</si>
  <si>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</si>
  <si>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</si>
  <si>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</si>
  <si>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</si>
  <si>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</si>
  <si>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</si>
  <si>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</si>
  <si>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</si>
  <si>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</si>
  <si>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</si>
  <si>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</si>
  <si>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</si>
  <si>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</si>
  <si>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</si>
  <si>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</si>
  <si>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</si>
  <si>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</si>
  <si>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</si>
  <si>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</si>
  <si>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</si>
  <si>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</si>
  <si>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</si>
  <si>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</si>
  <si>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</si>
  <si>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</si>
  <si>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</si>
  <si>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</si>
  <si>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</si>
  <si>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</si>
  <si>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</si>
  <si>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</si>
  <si>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</si>
  <si>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</si>
  <si>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</si>
  <si>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</si>
  <si>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</si>
  <si>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</si>
  <si>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</si>
  <si>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</si>
  <si>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</si>
  <si>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</si>
  <si>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</si>
  <si>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</si>
  <si>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</si>
  <si>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</si>
  <si>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</si>
  <si>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</si>
  <si>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</si>
  <si>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</si>
  <si>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</si>
  <si>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</si>
  <si>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</si>
  <si>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</si>
  <si>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</si>
  <si>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</si>
  <si>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</si>
  <si>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</si>
  <si>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</si>
  <si>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</si>
  <si>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</si>
  <si>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</si>
  <si>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</si>
  <si>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</si>
  <si>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</si>
  <si>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</si>
  <si>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</si>
  <si>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</si>
  <si>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</si>
  <si>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</si>
  <si>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</si>
  <si>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</si>
  <si>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</si>
  <si>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</si>
  <si>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</si>
  <si>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</si>
  <si>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</si>
  <si>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</si>
  <si>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</si>
  <si>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</si>
  <si>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</si>
  <si>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</si>
  <si>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</si>
  <si>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</si>
  <si>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</si>
  <si>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</si>
  <si>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</si>
  <si>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</si>
  <si>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</si>
  <si>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</si>
  <si>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</si>
  <si>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</si>
  <si>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</si>
  <si>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</si>
  <si>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</si>
  <si>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</si>
  <si>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</si>
  <si>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</si>
  <si>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</si>
  <si>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</si>
  <si>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</si>
  <si>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</si>
  <si>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</si>
  <si>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</si>
  <si>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</si>
  <si>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</si>
  <si>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</si>
  <si>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</si>
  <si>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</si>
  <si>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</si>
  <si>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</si>
  <si>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</si>
  <si>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</si>
  <si>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</si>
  <si>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</si>
  <si>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</si>
  <si>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</si>
  <si>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</si>
  <si>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</si>
  <si>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</si>
  <si>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</si>
  <si>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</si>
  <si>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</si>
  <si>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</si>
  <si>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</si>
  <si>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</si>
  <si>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</si>
  <si>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</si>
  <si>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</si>
  <si>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</si>
  <si>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</si>
  <si>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</si>
  <si>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</si>
  <si>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</si>
  <si>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</si>
  <si>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</si>
  <si>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</si>
  <si>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</si>
  <si>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</si>
  <si>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</si>
  <si>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</si>
  <si>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</si>
  <si>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</si>
  <si>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</si>
  <si>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</si>
  <si>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</si>
  <si>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</si>
  <si>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</si>
  <si>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</si>
  <si>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</si>
  <si>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</si>
  <si>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</si>
  <si>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</si>
  <si>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</si>
  <si>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</si>
  <si>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</si>
  <si>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</si>
  <si>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</si>
  <si>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</si>
  <si>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</si>
  <si>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</si>
  <si>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</si>
  <si>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</si>
  <si>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</si>
  <si>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</si>
  <si>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</si>
  <si>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</si>
  <si>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</si>
  <si>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</si>
  <si>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</si>
  <si>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</si>
  <si>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</si>
  <si>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</si>
  <si>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</si>
  <si>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</si>
  <si>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</si>
  <si>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</si>
  <si>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</si>
  <si>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</si>
  <si>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</si>
  <si>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</si>
  <si>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</si>
  <si>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</si>
  <si>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</si>
  <si>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</si>
  <si>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</si>
  <si>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</si>
  <si>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</si>
  <si>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</si>
  <si>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</si>
  <si>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</si>
  <si>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</si>
  <si>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</si>
  <si>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</si>
  <si>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</si>
  <si>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</si>
  <si>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</si>
  <si>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</si>
  <si>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</si>
  <si>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</si>
  <si>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</si>
  <si>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</si>
  <si>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</si>
  <si>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</si>
  <si>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</si>
  <si>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</si>
  <si>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</si>
  <si>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</si>
  <si>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</si>
  <si>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</si>
  <si>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</si>
  <si>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</si>
  <si>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</si>
  <si>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</si>
  <si>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</si>
  <si>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</si>
  <si>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</si>
  <si>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</si>
  <si>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</si>
  <si>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</si>
  <si>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</si>
  <si>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</si>
  <si>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</si>
  <si>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</si>
  <si>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</si>
  <si>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</si>
  <si>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</si>
  <si>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</si>
  <si>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</si>
  <si>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</si>
  <si>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</si>
  <si>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</si>
  <si>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</si>
  <si>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</si>
  <si>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</si>
  <si>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</si>
  <si>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</si>
  <si>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</si>
  <si>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</si>
  <si>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</si>
  <si>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</si>
  <si>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</si>
  <si>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</si>
  <si>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</si>
  <si>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</si>
  <si>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</si>
  <si>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</si>
  <si>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</si>
  <si>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</si>
  <si>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</si>
  <si>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</si>
  <si>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</si>
  <si>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</si>
  <si>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</si>
  <si>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</si>
  <si>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</si>
  <si>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</si>
  <si>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</si>
  <si>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</si>
  <si>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</si>
  <si>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</si>
  <si>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</si>
  <si>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</si>
  <si>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</si>
  <si>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</si>
  <si>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</si>
  <si>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</si>
  <si>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</si>
  <si>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</si>
  <si>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</si>
  <si>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</si>
  <si>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</si>
  <si>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</si>
  <si>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</si>
  <si>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</si>
  <si>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</si>
  <si>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</si>
  <si>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</si>
  <si>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</si>
  <si>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</si>
  <si>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</si>
  <si>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</si>
  <si>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</si>
  <si>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</si>
  <si>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</si>
  <si>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</si>
  <si>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</si>
  <si>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</si>
  <si>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</si>
  <si>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</si>
  <si>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</si>
  <si>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</si>
  <si>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</si>
  <si>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</si>
  <si>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</si>
  <si>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</si>
  <si>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</si>
  <si>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</si>
  <si>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</si>
  <si>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</si>
  <si>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</si>
  <si>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</si>
  <si>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</si>
  <si>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</si>
  <si>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</si>
  <si>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</si>
  <si>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</si>
  <si>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</si>
  <si>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</si>
  <si>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</si>
  <si>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</si>
  <si>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</si>
  <si>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</si>
  <si>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</si>
  <si>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</si>
  <si>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</si>
  <si>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</si>
  <si>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</si>
  <si>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</si>
  <si>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</si>
  <si>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</si>
  <si>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</si>
  <si>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</si>
  <si>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</si>
  <si>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</si>
  <si>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</si>
  <si>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</si>
  <si>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</si>
  <si>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</si>
  <si>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</si>
  <si>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</si>
  <si>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</si>
  <si>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</si>
  <si>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</si>
  <si>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</si>
  <si>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</si>
  <si>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</si>
  <si>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</si>
  <si>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</si>
  <si>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</si>
  <si>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</si>
  <si>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</si>
  <si>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</si>
  <si>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</si>
  <si>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</si>
  <si>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</si>
  <si>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</si>
  <si>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</si>
  <si>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</si>
  <si>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</si>
  <si>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</si>
  <si>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</si>
  <si>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</si>
  <si>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</si>
  <si>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</si>
  <si>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</si>
  <si>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</si>
  <si>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</si>
  <si>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</si>
  <si>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</si>
  <si>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</si>
  <si>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</si>
  <si>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</si>
  <si>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</si>
  <si>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</si>
  <si>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</si>
  <si>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</si>
  <si>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</si>
  <si>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</si>
  <si>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</si>
  <si>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</si>
  <si>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</si>
  <si>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</si>
  <si>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</si>
  <si>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</si>
  <si>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</si>
  <si>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</si>
  <si>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</si>
  <si>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</si>
  <si>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</si>
  <si>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</si>
  <si>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</si>
  <si>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</si>
  <si>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</si>
  <si>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</si>
  <si>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</si>
  <si>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</si>
  <si>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</si>
  <si>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</si>
  <si>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</si>
  <si>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</si>
  <si>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</si>
  <si>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</si>
  <si>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</si>
  <si>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</si>
  <si>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</si>
  <si>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</si>
  <si>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</si>
  <si>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</si>
  <si>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</si>
  <si>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</si>
  <si>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</si>
  <si>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</si>
  <si>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</si>
  <si>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</si>
  <si>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</si>
  <si>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</si>
  <si>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</si>
  <si>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</si>
  <si>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</si>
  <si>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</si>
  <si>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</si>
  <si>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</si>
  <si>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</si>
  <si>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</si>
  <si>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</si>
  <si>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</si>
  <si>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</si>
  <si>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</si>
  <si>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</si>
  <si>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</si>
  <si>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</si>
  <si>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</si>
  <si>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</si>
  <si>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</si>
  <si>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</si>
  <si>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</si>
  <si>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</si>
  <si>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</si>
  <si>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</si>
  <si>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</si>
  <si>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</si>
  <si>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</si>
  <si>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</si>
  <si>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</si>
  <si>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</si>
  <si>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</si>
  <si>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</si>
  <si>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</si>
  <si>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</si>
  <si>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</si>
  <si>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</si>
  <si>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</si>
  <si>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</si>
  <si>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</si>
  <si>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</si>
  <si>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</si>
  <si>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</si>
  <si>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</si>
  <si>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</si>
  <si>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</si>
  <si>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</si>
  <si>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</si>
  <si>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</si>
  <si>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</si>
  <si>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</si>
  <si>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</si>
  <si>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</si>
  <si>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</si>
  <si>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</si>
  <si>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</si>
  <si>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</si>
  <si>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</si>
  <si>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</si>
  <si>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</si>
  <si>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</si>
  <si>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</si>
  <si>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</si>
  <si>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</si>
  <si>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</si>
  <si>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</si>
  <si>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</si>
  <si>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</si>
  <si>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</si>
  <si>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</si>
  <si>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</si>
  <si>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</si>
  <si>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</si>
  <si>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</si>
  <si>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</si>
  <si>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</si>
  <si>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</si>
  <si>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</si>
  <si>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</si>
  <si>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</si>
  <si>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</si>
  <si>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</si>
  <si>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</si>
  <si>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</si>
  <si>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</si>
  <si>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</si>
  <si>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</si>
  <si>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</si>
  <si>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</si>
  <si>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</si>
  <si>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</si>
  <si>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</si>
  <si>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</si>
  <si>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</si>
  <si>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</si>
  <si>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</si>
  <si>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</si>
  <si>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</si>
  <si>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</si>
  <si>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</si>
  <si>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</si>
  <si>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</si>
  <si>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</si>
  <si>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</si>
  <si>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</si>
  <si>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</si>
  <si>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</si>
  <si>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</si>
  <si>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</si>
  <si>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</si>
  <si>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</si>
  <si>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</si>
  <si>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</si>
  <si>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</si>
  <si>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</si>
  <si>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</si>
  <si>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</si>
  <si>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</si>
  <si>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</si>
  <si>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</si>
  <si>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</si>
  <si>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</si>
  <si>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</si>
  <si>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</si>
  <si>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</si>
  <si>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</si>
  <si>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</si>
  <si>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</si>
  <si>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</si>
  <si>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</si>
  <si>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</si>
  <si>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</si>
  <si>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</si>
  <si>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</si>
  <si>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</si>
  <si>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</si>
  <si>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</si>
  <si>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</si>
  <si>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</si>
  <si>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</si>
  <si>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</si>
  <si>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</si>
  <si>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</si>
  <si>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</si>
  <si>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</si>
  <si>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</si>
  <si>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</si>
  <si>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</si>
  <si>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</si>
  <si>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</si>
  <si>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</si>
  <si>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</si>
  <si>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</si>
  <si>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</si>
  <si>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</si>
  <si>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</si>
  <si>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</si>
  <si>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</si>
  <si>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</si>
  <si>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</si>
  <si>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</si>
  <si>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</si>
  <si>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</si>
  <si>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</si>
  <si>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</si>
  <si>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</si>
  <si>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</si>
  <si>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</si>
  <si>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</si>
  <si>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</si>
  <si>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</si>
  <si>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</si>
  <si>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</si>
  <si>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</si>
  <si>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</si>
  <si>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</si>
  <si>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</si>
  <si>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</si>
  <si>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</si>
  <si>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</si>
  <si>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</si>
  <si>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</si>
  <si>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</si>
  <si>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</si>
  <si>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</si>
  <si>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</si>
  <si>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</si>
  <si>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</si>
  <si>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</si>
  <si>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</si>
  <si>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</si>
  <si>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</si>
  <si>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</si>
  <si>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</si>
  <si>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</si>
  <si>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</si>
  <si>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</si>
  <si>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</si>
  <si>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</si>
  <si>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</si>
  <si>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</si>
  <si>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</si>
  <si>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</si>
  <si>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</si>
  <si>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</si>
  <si>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</si>
  <si>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</si>
  <si>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</si>
  <si>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</si>
  <si>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</si>
  <si>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</si>
  <si>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</si>
  <si>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</si>
  <si>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</si>
  <si>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</si>
  <si>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</si>
  <si>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</si>
  <si>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</si>
  <si>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</si>
  <si>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</si>
  <si>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</si>
  <si>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</si>
  <si>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</si>
  <si>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</si>
  <si>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</si>
  <si>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</si>
  <si>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</si>
  <si>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</si>
  <si>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</si>
  <si>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</si>
  <si>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</si>
  <si>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</si>
  <si>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</si>
  <si>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</si>
  <si>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</si>
  <si>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</si>
  <si>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</si>
  <si>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</si>
  <si>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</si>
  <si>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</si>
  <si>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</si>
  <si>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</si>
  <si>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</si>
  <si>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</si>
  <si>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</si>
  <si>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</si>
  <si>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</si>
  <si>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</si>
  <si>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</si>
  <si>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</si>
  <si>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</si>
  <si>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</si>
  <si>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</si>
  <si>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</si>
  <si>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</si>
  <si>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</si>
  <si>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</si>
  <si>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</si>
  <si>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</si>
  <si>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</si>
  <si>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</si>
  <si>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</si>
  <si>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</si>
  <si>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</si>
  <si>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</si>
  <si>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</si>
  <si>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</si>
  <si>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</si>
  <si>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</si>
  <si>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</si>
  <si>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</si>
  <si>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</si>
  <si>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</si>
  <si>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</si>
  <si>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</si>
  <si>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</si>
  <si>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</si>
  <si>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</si>
  <si>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</si>
  <si>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</si>
  <si>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</si>
  <si>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</si>
  <si>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</si>
  <si>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</si>
  <si>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</si>
  <si>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</si>
  <si>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</si>
  <si>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</si>
  <si>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</si>
  <si>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</si>
  <si>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</si>
  <si>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</si>
  <si>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</si>
  <si>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</si>
  <si>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</si>
  <si>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</si>
  <si>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</si>
  <si>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</si>
  <si>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</si>
  <si>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</si>
  <si>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</si>
  <si>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</si>
  <si>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</si>
  <si>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</si>
  <si>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</si>
  <si>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</si>
  <si>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</si>
  <si>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</si>
  <si>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</si>
  <si>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</si>
  <si>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</si>
  <si>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</si>
  <si>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</si>
  <si>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</si>
  <si>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</si>
  <si>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</si>
  <si>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</si>
  <si>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</si>
  <si>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</si>
  <si>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</si>
  <si>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</si>
  <si>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</si>
  <si>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</si>
  <si>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</si>
  <si>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</si>
  <si>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</si>
  <si>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</si>
  <si>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</si>
  <si>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</si>
  <si>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</si>
  <si>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</si>
  <si>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</si>
  <si>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</si>
  <si>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</si>
  <si>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</si>
  <si>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</si>
  <si>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</si>
  <si>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</si>
  <si>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</si>
  <si>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</si>
  <si>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</si>
  <si>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</si>
  <si>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</si>
  <si>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</si>
  <si>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</si>
  <si>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</si>
  <si>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</si>
  <si>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</si>
  <si>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</si>
  <si>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</si>
  <si>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</si>
  <si>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</si>
  <si>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</si>
  <si>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</si>
  <si>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</si>
  <si>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</si>
  <si>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</si>
  <si>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</si>
  <si>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</si>
  <si>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</si>
  <si>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</si>
  <si>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</si>
  <si>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</si>
  <si>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</si>
  <si>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</si>
  <si>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</si>
  <si>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</si>
  <si>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</si>
  <si>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</si>
  <si>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</si>
  <si>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</si>
  <si>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</si>
  <si>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</si>
  <si>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</si>
  <si>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</si>
  <si>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</si>
  <si>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</si>
  <si>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</si>
  <si>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</si>
  <si>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</si>
  <si>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</si>
  <si>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</si>
  <si>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</si>
  <si>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</si>
  <si>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</si>
  <si>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</si>
  <si>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</si>
  <si>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</si>
  <si>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</si>
  <si>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</si>
  <si>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</si>
  <si>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</si>
  <si>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</si>
  <si>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</si>
  <si>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</si>
  <si>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</si>
  <si>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</si>
  <si>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</si>
  <si>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</si>
  <si>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</si>
  <si>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</si>
  <si>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</si>
  <si>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</si>
  <si>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</si>
  <si>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</si>
  <si>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</si>
  <si>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</si>
  <si>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</si>
  <si>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</si>
  <si>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</si>
  <si>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</si>
  <si>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</si>
  <si>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</si>
  <si>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</si>
  <si>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</si>
  <si>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</si>
  <si>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</si>
  <si>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</si>
  <si>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</si>
  <si>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</si>
  <si>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</si>
  <si>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</si>
  <si>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</si>
  <si>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</si>
  <si>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</si>
  <si>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</si>
  <si>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</si>
  <si>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</si>
  <si>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</si>
  <si>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</si>
  <si>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</si>
  <si>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</si>
  <si>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</si>
  <si>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</si>
  <si>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</si>
  <si>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</si>
  <si>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</si>
  <si>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</si>
  <si>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</si>
  <si>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</si>
  <si>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</si>
  <si>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</si>
  <si>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</si>
  <si>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</si>
  <si>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</si>
  <si>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</si>
  <si>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</si>
  <si>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</si>
  <si>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</si>
  <si>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</si>
  <si>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</si>
  <si>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</si>
  <si>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</si>
  <si>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</si>
  <si>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</si>
  <si>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</si>
  <si>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</si>
  <si>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</si>
  <si>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</si>
  <si>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</si>
  <si>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</si>
  <si>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</si>
  <si>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</si>
  <si>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</si>
  <si>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</si>
  <si>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</si>
  <si>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</si>
  <si>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</si>
  <si>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</si>
  <si>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</si>
  <si>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</si>
  <si>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</si>
  <si>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</si>
  <si>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</si>
  <si>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</si>
  <si>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</si>
  <si>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</si>
  <si>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</si>
  <si>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</si>
  <si>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</si>
  <si>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</si>
  <si>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</si>
  <si>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</si>
  <si>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</si>
  <si>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</si>
  <si>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</si>
  <si>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</si>
  <si>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</si>
  <si>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</si>
  <si>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</si>
  <si>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</si>
  <si>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</si>
  <si>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</si>
  <si>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</si>
  <si>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</si>
  <si>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</si>
  <si>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</si>
  <si>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</si>
  <si>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</si>
  <si>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</si>
  <si>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</si>
  <si>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</si>
  <si>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</si>
  <si>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</si>
  <si>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</si>
  <si>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</si>
  <si>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</si>
  <si>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</si>
  <si>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</si>
  <si>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</si>
  <si>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</si>
  <si>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</si>
  <si>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</si>
  <si>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</si>
  <si>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</si>
  <si>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</si>
  <si>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</si>
  <si>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</si>
  <si>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</si>
  <si>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</si>
  <si>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</si>
  <si>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</si>
  <si>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</si>
  <si>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</si>
  <si>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</si>
  <si>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</si>
  <si>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</si>
  <si>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</si>
  <si>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</si>
  <si>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</si>
  <si>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</si>
  <si>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</si>
  <si>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</si>
  <si>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</si>
  <si>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</si>
  <si>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</si>
  <si>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</si>
  <si>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</si>
  <si>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</si>
  <si>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</si>
  <si>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</si>
  <si>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</si>
  <si>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</si>
  <si>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</si>
  <si>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</si>
  <si>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</si>
  <si>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</si>
  <si>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</si>
  <si>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</si>
  <si>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</si>
  <si>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</si>
  <si>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</si>
  <si>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</si>
  <si>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</si>
  <si>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</si>
  <si>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</si>
  <si>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</si>
  <si>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</si>
  <si>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</si>
  <si>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</si>
  <si>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</si>
  <si>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</si>
  <si>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</si>
  <si>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</si>
  <si>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</si>
  <si>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</si>
  <si>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</si>
  <si>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</si>
  <si>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</si>
  <si>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</si>
  <si>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</si>
  <si>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</si>
  <si>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</si>
  <si>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</si>
  <si>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</si>
  <si>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</si>
  <si>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</si>
  <si>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</si>
  <si>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</si>
  <si>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</si>
  <si>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</si>
  <si>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</si>
  <si>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</si>
  <si>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</si>
  <si>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</si>
  <si>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</si>
  <si>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</si>
  <si>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</si>
  <si>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</si>
  <si>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</si>
  <si>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</si>
  <si>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</si>
  <si>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</si>
  <si>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</si>
  <si>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</si>
  <si>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</si>
  <si>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</si>
  <si>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</si>
  <si>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</si>
  <si>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</si>
  <si>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</si>
  <si>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</si>
  <si>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</si>
  <si>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</si>
  <si>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</si>
  <si>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</si>
  <si>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</si>
  <si>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</si>
  <si>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</si>
  <si>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</si>
  <si>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</si>
  <si>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</si>
  <si>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</si>
  <si>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</si>
  <si>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</si>
  <si>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</si>
  <si>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</si>
  <si>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</si>
  <si>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</si>
  <si>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</si>
  <si>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</si>
  <si>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</si>
  <si>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</si>
  <si>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</si>
  <si>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</si>
  <si>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</si>
  <si>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</si>
  <si>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</si>
  <si>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</si>
  <si>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</si>
  <si>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</si>
  <si>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</si>
  <si>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</si>
  <si>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</si>
  <si>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</si>
  <si>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</si>
  <si>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</si>
  <si>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</si>
  <si>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</si>
  <si>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</si>
  <si>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</si>
  <si>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</si>
  <si>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</si>
  <si>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</si>
  <si>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</si>
  <si>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</si>
  <si>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</si>
  <si>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</si>
  <si>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</si>
  <si>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</si>
  <si>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</si>
  <si>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</si>
  <si>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</si>
  <si>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</si>
  <si>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</si>
  <si>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</si>
  <si>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</si>
  <si>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</si>
  <si>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</si>
  <si>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</si>
  <si>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</si>
  <si>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</si>
  <si>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</si>
  <si>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</si>
  <si>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</si>
  <si>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</si>
  <si>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</si>
  <si>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</si>
  <si>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</si>
  <si>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</si>
  <si>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</si>
  <si>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</si>
  <si>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</si>
  <si>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</si>
  <si>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</si>
  <si>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</si>
  <si>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</si>
  <si>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</si>
  <si>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</si>
  <si>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</si>
  <si>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</si>
  <si>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</si>
  <si>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</si>
  <si>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</si>
  <si>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</si>
  <si>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</si>
  <si>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</si>
  <si>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</si>
  <si>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</si>
  <si>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</si>
  <si>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</si>
  <si>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</si>
  <si>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</si>
  <si>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</si>
  <si>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</si>
  <si>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</si>
  <si>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</si>
  <si>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</si>
  <si>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</si>
  <si>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</si>
  <si>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</si>
  <si>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</si>
  <si>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</si>
  <si>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</si>
  <si>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</si>
  <si>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</si>
  <si>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</si>
  <si>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</si>
  <si>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</si>
  <si>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</si>
  <si>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</si>
  <si>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</si>
  <si>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</si>
  <si>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</si>
  <si>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</si>
  <si>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</si>
  <si>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</si>
  <si>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</si>
  <si>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</si>
  <si>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</si>
  <si>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</si>
  <si>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</si>
  <si>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</si>
  <si>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</si>
  <si>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</si>
  <si>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</si>
  <si>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</si>
  <si>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</si>
  <si>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</si>
  <si>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</si>
  <si>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</si>
  <si>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</si>
  <si>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</si>
  <si>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</si>
  <si>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</si>
  <si>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</si>
  <si>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</si>
  <si>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</si>
  <si>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</si>
  <si>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</si>
  <si>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</si>
  <si>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</si>
  <si>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</si>
  <si>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</si>
  <si>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</si>
  <si>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</si>
  <si>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</si>
  <si>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</si>
  <si>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</si>
  <si>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</si>
  <si>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</si>
  <si>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</si>
  <si>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</si>
  <si>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</si>
  <si>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</si>
  <si>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</si>
  <si>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</si>
  <si>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</si>
  <si>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</si>
  <si>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</si>
  <si>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</si>
  <si>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</si>
  <si>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</si>
  <si>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</si>
  <si>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</si>
  <si>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</si>
  <si>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</si>
  <si>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</si>
  <si>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</si>
  <si>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</si>
  <si>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</si>
  <si>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</si>
  <si>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</si>
  <si>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</si>
  <si>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</si>
  <si>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</si>
  <si>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</si>
  <si>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</si>
  <si>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</si>
  <si>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</si>
  <si>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</si>
  <si>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</si>
  <si>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</si>
  <si>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</si>
  <si>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</si>
  <si>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</si>
  <si>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</si>
  <si>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</si>
  <si>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</si>
  <si>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</si>
  <si>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</si>
  <si>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</si>
  <si>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</si>
  <si>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</si>
  <si>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</si>
  <si>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</si>
  <si>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</si>
  <si>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</si>
  <si>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</si>
  <si>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</si>
  <si>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</si>
  <si>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</si>
  <si>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</si>
  <si>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</si>
  <si>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</si>
  <si>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</si>
  <si>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</si>
  <si>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</si>
  <si>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</si>
  <si>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</si>
  <si>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</si>
  <si>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</si>
  <si>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</si>
  <si>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</si>
  <si>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</si>
  <si>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</si>
  <si>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</si>
  <si>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</si>
  <si>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</si>
  <si>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</si>
  <si>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</si>
  <si>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</si>
  <si>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</si>
  <si>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</si>
  <si>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</si>
  <si>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</si>
  <si>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</si>
  <si>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</si>
  <si>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</si>
  <si>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</si>
  <si>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</si>
  <si>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</si>
  <si>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</si>
  <si>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</si>
  <si>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</si>
  <si>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</si>
  <si>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</si>
  <si>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</si>
  <si>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</si>
  <si>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</si>
  <si>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</si>
  <si>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</si>
  <si>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</si>
  <si>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</si>
  <si>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</si>
  <si>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</si>
  <si>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</si>
  <si>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</si>
  <si>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</si>
  <si>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</si>
  <si>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</si>
  <si>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</si>
  <si>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</si>
  <si>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</si>
  <si>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</si>
  <si>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</si>
  <si>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</si>
  <si>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</si>
  <si>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</si>
  <si>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</si>
  <si>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</si>
  <si>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</si>
  <si>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</si>
  <si>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</si>
  <si>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</si>
  <si>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</si>
  <si>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</si>
  <si>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</si>
  <si>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</si>
  <si>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</si>
  <si>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</si>
  <si>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</si>
  <si>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</si>
  <si>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</si>
  <si>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</si>
  <si>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</si>
  <si>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</si>
  <si>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</si>
  <si>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</si>
  <si>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</si>
  <si>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</si>
  <si>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</si>
  <si>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</si>
  <si>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</si>
  <si>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</si>
  <si>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</si>
  <si>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</si>
  <si>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</si>
  <si>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</si>
  <si>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</si>
  <si>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</si>
  <si>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</si>
  <si>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</si>
  <si>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</si>
  <si>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</si>
  <si>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</si>
  <si>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</si>
  <si>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</si>
  <si>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</si>
  <si>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</si>
  <si>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</si>
  <si>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</si>
  <si>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</si>
  <si>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</si>
  <si>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</si>
  <si>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</si>
  <si>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</si>
  <si>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</si>
  <si>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</si>
  <si>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</si>
  <si>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</si>
  <si>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</si>
  <si>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</si>
  <si>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</si>
  <si>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</si>
  <si>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</si>
  <si>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</si>
  <si>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</si>
  <si>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</si>
  <si>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</si>
  <si>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</si>
  <si>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</si>
  <si>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</si>
  <si>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</si>
  <si>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</si>
  <si>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</si>
  <si>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</si>
  <si>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</si>
  <si>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</si>
  <si>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</si>
  <si>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</si>
  <si>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</si>
  <si>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</si>
  <si>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</si>
  <si>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</si>
  <si>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</si>
  <si>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</si>
  <si>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</si>
  <si>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</si>
  <si>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</si>
  <si>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</si>
  <si>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</si>
  <si>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</si>
  <si>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</si>
  <si>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</si>
  <si>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</si>
  <si>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</si>
  <si>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</si>
  <si>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</si>
  <si>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</si>
  <si>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</si>
  <si>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</si>
  <si>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</si>
  <si>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</si>
  <si>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</si>
  <si>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</si>
  <si>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</si>
  <si>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</si>
  <si>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</si>
  <si>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</si>
  <si>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</si>
  <si>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</si>
  <si>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</si>
  <si>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</si>
  <si>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</si>
  <si>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</si>
  <si>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</si>
  <si>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</si>
  <si>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</si>
  <si>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</si>
  <si>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</si>
  <si>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</si>
  <si>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</si>
  <si>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</si>
  <si>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</si>
  <si>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</si>
  <si>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</si>
  <si>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</si>
  <si>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</si>
  <si>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</si>
  <si>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</si>
  <si>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</si>
  <si>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</si>
  <si>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</si>
  <si>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</si>
  <si>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</si>
  <si>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</si>
  <si>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</si>
  <si>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</si>
  <si>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</si>
  <si>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</si>
  <si>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</si>
  <si>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</si>
  <si>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</si>
  <si>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</si>
  <si>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</si>
  <si>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</si>
  <si>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</si>
  <si>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</si>
  <si>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</si>
  <si>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</si>
  <si>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</si>
  <si>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</si>
  <si>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</si>
  <si>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</si>
  <si>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</si>
  <si>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</si>
  <si>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</si>
  <si>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</si>
  <si>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</si>
  <si>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</si>
  <si>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</si>
  <si>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</si>
  <si>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</si>
  <si>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</si>
  <si>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</si>
  <si>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</si>
  <si>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</si>
  <si>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</si>
  <si>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</si>
  <si>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</si>
  <si>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</si>
  <si>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</si>
  <si>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</si>
  <si>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</si>
  <si>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</si>
  <si>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</si>
  <si>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</si>
  <si>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</si>
  <si>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</si>
  <si>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</si>
  <si>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</si>
  <si>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</si>
  <si>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</si>
  <si>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</si>
  <si>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</si>
  <si>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</si>
  <si>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</si>
  <si>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</si>
  <si>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</si>
  <si>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</si>
  <si>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</si>
  <si>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</si>
  <si>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</si>
  <si>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</si>
  <si>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</si>
  <si>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</si>
  <si>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</si>
  <si>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</si>
  <si>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</si>
  <si>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</si>
  <si>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</si>
  <si>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</si>
  <si>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</si>
  <si>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</si>
  <si>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</si>
  <si>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</si>
  <si>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</si>
  <si>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</si>
  <si>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</si>
  <si>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</si>
  <si>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</si>
  <si>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</si>
  <si>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</si>
  <si>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</si>
  <si>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</si>
  <si>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</si>
  <si>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</si>
  <si>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</si>
  <si>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</si>
  <si>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</si>
  <si>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</si>
  <si>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</si>
  <si>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</si>
  <si>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</si>
  <si>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</si>
  <si>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</si>
  <si>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</si>
  <si>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</si>
  <si>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</si>
  <si>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</si>
  <si>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</si>
  <si>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</si>
  <si>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</si>
  <si>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</si>
  <si>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</si>
  <si>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</si>
  <si>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</si>
  <si>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</si>
  <si>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</si>
  <si>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</si>
  <si>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</si>
  <si>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</si>
  <si>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</si>
  <si>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</si>
  <si>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</si>
  <si>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</si>
  <si>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</si>
  <si>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</si>
  <si>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</si>
  <si>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</si>
  <si>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</si>
  <si>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</si>
  <si>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</si>
  <si>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</si>
  <si>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</si>
  <si>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</si>
  <si>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</si>
  <si>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</si>
  <si>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</si>
  <si>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</si>
  <si>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</si>
  <si>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</si>
  <si>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</si>
  <si>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</si>
  <si>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</si>
  <si>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</si>
  <si>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</si>
  <si>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</si>
  <si>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</si>
  <si>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</si>
  <si>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</si>
  <si>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</si>
  <si>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</si>
  <si>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</si>
  <si>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</si>
  <si>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</si>
  <si>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</si>
  <si>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</si>
  <si>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</si>
  <si>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</si>
  <si>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</si>
  <si>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</si>
  <si>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</si>
  <si>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</si>
  <si>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</si>
  <si>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</si>
  <si>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</si>
  <si>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</si>
  <si>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</si>
  <si>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</si>
  <si>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</si>
  <si>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</si>
  <si>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</si>
  <si>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</si>
  <si>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</si>
  <si>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</si>
  <si>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</si>
  <si>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</si>
  <si>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</si>
  <si>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</si>
  <si>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</si>
  <si>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</si>
  <si>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</si>
  <si>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</si>
  <si>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</si>
  <si>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</si>
  <si>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</si>
  <si>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</si>
  <si>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</si>
  <si>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</si>
  <si>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</si>
  <si>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</si>
  <si>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</si>
  <si>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</si>
  <si>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</si>
  <si>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</si>
  <si>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</si>
  <si>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</si>
  <si>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</si>
  <si>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</si>
  <si>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</si>
  <si>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</si>
  <si>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</si>
  <si>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</si>
  <si>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</si>
  <si>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</si>
  <si>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</si>
  <si>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</si>
  <si>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</si>
  <si>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</si>
  <si>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</si>
  <si>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</si>
  <si>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</si>
  <si>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</si>
  <si>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</si>
  <si>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</si>
  <si>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</si>
  <si>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</si>
  <si>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</si>
  <si>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</si>
  <si>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</si>
  <si>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</si>
  <si>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</si>
  <si>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</si>
  <si>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</si>
  <si>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</si>
  <si>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</si>
  <si>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</si>
  <si>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</si>
  <si>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</si>
  <si>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</si>
  <si>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</si>
  <si>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</si>
  <si>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</si>
  <si>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</si>
  <si>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</si>
  <si>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</si>
  <si>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</si>
  <si>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</si>
  <si>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</si>
  <si>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</si>
  <si>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</si>
  <si>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</si>
  <si>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</si>
  <si>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</si>
  <si>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</si>
  <si>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</si>
  <si>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</si>
  <si>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</si>
  <si>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</si>
  <si>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</si>
  <si>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</si>
  <si>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</si>
  <si>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</si>
  <si>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</si>
  <si>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</si>
  <si>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</si>
  <si>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</si>
  <si>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</si>
  <si>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</si>
  <si>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</si>
  <si>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</si>
  <si>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</si>
  <si>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</si>
  <si>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</si>
  <si>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</si>
  <si>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</si>
  <si>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</si>
  <si>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</si>
  <si>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</si>
  <si>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</si>
  <si>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</si>
  <si>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</si>
  <si>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</si>
  <si>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</si>
  <si>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</si>
  <si>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</si>
  <si>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</si>
  <si>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</si>
  <si>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</si>
  <si>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</si>
  <si>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</si>
  <si>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</si>
  <si>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</si>
  <si>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</si>
  <si>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</si>
  <si>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</si>
  <si>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</si>
  <si>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</si>
  <si>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</si>
  <si>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</si>
  <si>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</si>
  <si>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</si>
  <si>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</si>
  <si>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</si>
  <si>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</si>
  <si>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</si>
  <si>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</si>
  <si>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</si>
  <si>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</si>
  <si>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</si>
  <si>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</si>
  <si>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</si>
  <si>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</si>
  <si>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</si>
  <si>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</si>
  <si>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</si>
  <si>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</si>
  <si>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</si>
  <si>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</si>
  <si>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</si>
  <si>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</si>
  <si>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</si>
  <si>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</si>
  <si>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</si>
  <si>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</si>
  <si>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</si>
  <si>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</si>
  <si>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</si>
  <si>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</si>
  <si>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</si>
  <si>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</si>
  <si>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</si>
  <si>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</si>
  <si>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</si>
  <si>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</si>
  <si>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</si>
  <si>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</si>
  <si>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</si>
  <si>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</si>
  <si>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</si>
  <si>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</si>
  <si>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</si>
  <si>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</si>
  <si>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</si>
  <si>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</si>
  <si>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</si>
  <si>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</si>
  <si>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</si>
  <si>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</si>
  <si>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</si>
  <si>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</si>
  <si>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</si>
  <si>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</si>
  <si>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</si>
  <si>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</si>
  <si>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</si>
  <si>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</si>
  <si>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</si>
  <si>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</si>
  <si>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</si>
  <si>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</si>
  <si>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</si>
  <si>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</si>
  <si>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</si>
  <si>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</si>
  <si>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</si>
  <si>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</si>
  <si>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</si>
  <si>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</si>
  <si>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</si>
  <si>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</si>
  <si>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</si>
  <si>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</si>
  <si>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</si>
  <si>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</si>
  <si>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</si>
  <si>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</si>
  <si>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</si>
  <si>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</si>
  <si>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</si>
  <si>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</si>
  <si>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</si>
  <si>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</si>
  <si>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</si>
  <si>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</si>
  <si>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</si>
  <si>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</si>
  <si>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</si>
  <si>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</si>
  <si>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</si>
  <si>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</si>
  <si>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</si>
  <si>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</si>
  <si>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</si>
  <si>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</si>
  <si>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</si>
  <si>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</si>
  <si>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</si>
  <si>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</si>
  <si>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</si>
  <si>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</si>
  <si>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</si>
  <si>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</si>
  <si>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</si>
  <si>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</si>
  <si>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</si>
  <si>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</si>
  <si>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</si>
  <si>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</si>
  <si>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</si>
  <si>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</si>
  <si>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</si>
  <si>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</si>
  <si>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</si>
  <si>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</si>
  <si>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</si>
  <si>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</si>
  <si>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</si>
  <si>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</si>
  <si>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</si>
  <si>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</si>
  <si>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</si>
  <si>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</si>
  <si>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</si>
  <si>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</si>
  <si>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</si>
  <si>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</si>
  <si>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</si>
  <si>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</si>
  <si>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</si>
  <si>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</si>
  <si>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</si>
  <si>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</si>
  <si>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</si>
  <si>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</si>
  <si>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</si>
  <si>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</si>
  <si>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</si>
  <si>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</si>
  <si>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</si>
  <si>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</si>
  <si>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</si>
  <si>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</si>
  <si>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</si>
  <si>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</si>
  <si>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</si>
  <si>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</si>
  <si>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</si>
  <si>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</si>
  <si>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</si>
  <si>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</si>
  <si>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</si>
  <si>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</si>
  <si>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</si>
  <si>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</si>
  <si>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</si>
  <si>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</si>
  <si>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</si>
  <si>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</si>
  <si>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</si>
  <si>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</si>
  <si>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</si>
  <si>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</si>
  <si>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</si>
  <si>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</si>
  <si>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</si>
  <si>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</si>
  <si>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</si>
  <si>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</si>
  <si>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</si>
  <si>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</si>
  <si>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</si>
  <si>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</si>
  <si>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</si>
  <si>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</si>
  <si>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</si>
  <si>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</si>
  <si>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</si>
  <si>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</si>
  <si>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</si>
  <si>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</si>
  <si>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</si>
  <si>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</si>
  <si>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</si>
  <si>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</si>
  <si>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</si>
  <si>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</si>
  <si>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</si>
  <si>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</si>
  <si>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</si>
  <si>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</si>
  <si>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</si>
  <si>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</si>
  <si>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</si>
  <si>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</si>
  <si>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</si>
  <si>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</si>
  <si>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</si>
  <si>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</si>
  <si>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</si>
  <si>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</si>
  <si>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</si>
  <si>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</si>
  <si>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</si>
  <si>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</si>
  <si>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</si>
  <si>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</si>
  <si>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</si>
  <si>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</si>
  <si>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</si>
  <si>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</si>
  <si>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</si>
  <si>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</si>
  <si>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</si>
  <si>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</si>
  <si>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</si>
  <si>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</si>
  <si>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</si>
  <si>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</si>
  <si>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</si>
  <si>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</si>
  <si>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</si>
  <si>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</si>
  <si>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</si>
  <si>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</si>
  <si>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</si>
  <si>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</si>
  <si>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</si>
  <si>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</si>
  <si>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</si>
  <si>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</si>
  <si>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</si>
  <si>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</si>
  <si>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</si>
  <si>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</si>
  <si>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</si>
  <si>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</si>
  <si>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</si>
  <si>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</si>
  <si>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</si>
  <si>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</si>
  <si>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</si>
  <si>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</si>
  <si>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</si>
  <si>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</si>
  <si>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</si>
  <si>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</si>
  <si>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</si>
  <si>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</si>
  <si>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</si>
  <si>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</si>
  <si>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</si>
  <si>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</si>
  <si>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</si>
  <si>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</si>
  <si>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</si>
  <si>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</si>
  <si>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</si>
  <si>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</si>
  <si>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</si>
  <si>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</si>
  <si>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</si>
  <si>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</si>
  <si>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</si>
  <si>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</si>
  <si>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</si>
  <si>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</si>
  <si>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</si>
  <si>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</si>
  <si>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</si>
  <si>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</si>
  <si>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</si>
  <si>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</si>
  <si>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</si>
  <si>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</si>
  <si>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</si>
  <si>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</si>
  <si>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</si>
  <si>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</si>
  <si>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</si>
  <si>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</si>
  <si>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</si>
  <si>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</si>
  <si>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</si>
  <si>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</si>
  <si>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</si>
  <si>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</si>
  <si>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</si>
  <si>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</si>
  <si>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</si>
  <si>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</si>
  <si>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</si>
  <si>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</si>
  <si>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</si>
  <si>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</si>
  <si>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</si>
  <si>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</si>
  <si>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</si>
  <si>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</si>
  <si>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</si>
  <si>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</si>
  <si>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</si>
  <si>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</si>
  <si>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</si>
  <si>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</si>
  <si>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</si>
  <si>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</si>
  <si>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</si>
  <si>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</si>
  <si>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</si>
  <si>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</si>
  <si>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</si>
  <si>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</si>
  <si>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</si>
  <si>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</si>
  <si>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</si>
  <si>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</si>
  <si>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</si>
  <si>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</si>
  <si>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</si>
  <si>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</si>
  <si>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</si>
  <si>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</si>
  <si>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</si>
  <si>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</si>
  <si>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</si>
  <si>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</si>
  <si>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</si>
  <si>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</si>
  <si>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</si>
  <si>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</si>
  <si>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</si>
  <si>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</si>
  <si>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</si>
  <si>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</si>
  <si>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</si>
  <si>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</si>
  <si>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</si>
  <si>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</si>
  <si>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</si>
  <si>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</si>
  <si>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</si>
  <si>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</si>
  <si>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</si>
  <si>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</si>
  <si>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</si>
  <si>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</si>
  <si>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</si>
  <si>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</si>
  <si>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</si>
  <si>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</si>
  <si>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</si>
  <si>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</si>
  <si>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</si>
  <si>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</si>
  <si>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</si>
  <si>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</si>
  <si>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</si>
  <si>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</si>
  <si>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</si>
  <si>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</si>
  <si>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</si>
  <si>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</si>
  <si>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</si>
  <si>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</si>
  <si>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</si>
  <si>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</si>
  <si>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</si>
  <si>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</si>
  <si>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</si>
  <si>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</si>
  <si>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</si>
  <si>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</si>
  <si>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</si>
  <si>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</si>
  <si>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</si>
  <si>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</si>
  <si>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</si>
  <si>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</si>
  <si>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</si>
  <si>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</si>
  <si>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</si>
  <si>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</si>
  <si>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</si>
  <si>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</si>
  <si>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</si>
  <si>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</si>
  <si>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</si>
  <si>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</si>
  <si>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</si>
  <si>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</si>
  <si>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</si>
  <si>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</si>
  <si>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</si>
  <si>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</si>
  <si>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</si>
  <si>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</si>
  <si>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</si>
  <si>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</si>
  <si>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</si>
  <si>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</si>
  <si>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</si>
  <si>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</si>
  <si>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</si>
  <si>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</si>
  <si>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</si>
  <si>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</si>
  <si>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</si>
  <si>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</si>
  <si>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</si>
  <si>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</si>
  <si>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</si>
  <si>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</si>
  <si>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</si>
  <si>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</si>
  <si>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</si>
  <si>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</si>
  <si>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</si>
  <si>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</si>
  <si>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</si>
  <si>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</si>
  <si>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</si>
  <si>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</si>
  <si>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</si>
  <si>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</si>
  <si>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</si>
  <si>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</si>
  <si>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</si>
  <si>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</si>
  <si>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</si>
  <si>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</si>
  <si>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</si>
  <si>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</si>
  <si>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</si>
  <si>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</si>
  <si>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</si>
  <si>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</si>
  <si>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</si>
  <si>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</si>
  <si>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</si>
  <si>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</si>
  <si>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</si>
  <si>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</si>
  <si>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</si>
  <si>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</si>
  <si>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</si>
  <si>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</si>
  <si>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</si>
  <si>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</si>
  <si>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</si>
  <si>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</si>
  <si>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</si>
  <si>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</si>
  <si>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</si>
  <si>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</si>
  <si>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</si>
  <si>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</si>
  <si>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</si>
  <si>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</si>
  <si>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</si>
  <si>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</si>
  <si>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</si>
  <si>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</si>
  <si>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</si>
  <si>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</si>
  <si>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</si>
  <si>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</si>
  <si>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</si>
  <si>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</si>
  <si>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</si>
  <si>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</si>
  <si>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</si>
  <si>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</si>
  <si>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</si>
  <si>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</si>
  <si>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</si>
  <si>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</si>
  <si>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</si>
  <si>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</si>
  <si>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</si>
  <si>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</si>
  <si>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</si>
  <si>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</si>
  <si>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</si>
  <si>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</si>
  <si>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</si>
  <si>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</si>
  <si>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</si>
  <si>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</si>
  <si>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</si>
  <si>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</si>
  <si>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</si>
  <si>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</si>
  <si>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</si>
  <si>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</si>
  <si>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</si>
  <si>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</si>
  <si>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</si>
  <si>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</si>
  <si>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</si>
  <si>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</si>
  <si>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</si>
  <si>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</si>
  <si>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</si>
  <si>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</si>
  <si>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</si>
  <si>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</si>
  <si>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</si>
  <si>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</si>
  <si>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</si>
  <si>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</si>
  <si>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</si>
  <si>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</si>
  <si>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</si>
  <si>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</si>
  <si>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</si>
  <si>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</si>
  <si>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</si>
  <si>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</si>
  <si>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</si>
  <si>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</si>
  <si>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</si>
  <si>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</si>
  <si>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</si>
  <si>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</si>
  <si>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</si>
  <si>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</si>
  <si>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</si>
  <si>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</si>
  <si>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</si>
  <si>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</si>
  <si>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</si>
  <si>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</si>
  <si>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</si>
  <si>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</si>
  <si>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</si>
  <si>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</si>
  <si>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</si>
  <si>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</si>
  <si>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</si>
  <si>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</si>
  <si>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</si>
  <si>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</si>
  <si>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</si>
  <si>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</si>
  <si>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</si>
  <si>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</si>
  <si>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</si>
  <si>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</si>
  <si>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</si>
  <si>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</si>
  <si>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</si>
  <si>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</si>
  <si>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</si>
  <si>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</si>
  <si>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</si>
  <si>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</si>
  <si>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</si>
  <si>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</si>
  <si>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</si>
  <si>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</si>
  <si>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</si>
  <si>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</si>
  <si>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</si>
  <si>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</si>
  <si>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</si>
  <si>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</si>
  <si>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</si>
  <si>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</si>
  <si>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</si>
  <si>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</si>
  <si>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</si>
  <si>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</si>
  <si>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</si>
  <si>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</si>
  <si>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</si>
  <si>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</si>
  <si>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</si>
  <si>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</si>
  <si>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</si>
  <si>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</si>
  <si>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</si>
  <si>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</si>
  <si>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</si>
  <si>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</si>
  <si>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</si>
  <si>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</si>
  <si>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</si>
  <si>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</si>
  <si>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</si>
  <si>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</si>
  <si>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</si>
  <si>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</si>
  <si>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</si>
  <si>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</si>
  <si>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</si>
  <si>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</si>
  <si>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</si>
  <si>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</si>
  <si>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</si>
  <si>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</si>
  <si>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</si>
  <si>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</si>
  <si>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</si>
  <si>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</si>
  <si>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</si>
  <si>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</si>
  <si>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</si>
  <si>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</si>
  <si>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</si>
  <si>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</si>
  <si>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</si>
  <si>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</si>
  <si>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</si>
  <si>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</si>
  <si>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</si>
  <si>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</si>
  <si>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</si>
  <si>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</si>
  <si>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</si>
  <si>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</si>
  <si>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</si>
  <si>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</si>
  <si>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</si>
  <si>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</si>
  <si>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</si>
  <si>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</si>
  <si>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</si>
  <si>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</si>
  <si>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</si>
  <si>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</si>
  <si>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</si>
  <si>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</si>
  <si>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</si>
  <si>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</si>
  <si>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</si>
  <si>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</si>
  <si>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</si>
  <si>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</si>
  <si>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</si>
  <si>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</si>
  <si>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</si>
  <si>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</si>
  <si>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</si>
  <si>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</si>
  <si>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</si>
  <si>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</si>
  <si>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</si>
  <si>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</si>
  <si>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</si>
  <si>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</si>
  <si>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</si>
  <si>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</si>
  <si>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</si>
  <si>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</si>
  <si>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</si>
  <si>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</si>
  <si>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</si>
  <si>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</si>
  <si>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</si>
  <si>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</si>
  <si>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</si>
  <si>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</si>
  <si>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</si>
  <si>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</si>
  <si>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</si>
  <si>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</si>
  <si>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</si>
  <si>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</si>
  <si>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</si>
  <si>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</si>
  <si>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</si>
  <si>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</si>
  <si>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</si>
  <si>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</si>
  <si>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</si>
  <si>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</si>
  <si>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</si>
  <si>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</si>
  <si>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</si>
  <si>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</si>
  <si>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</si>
  <si>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</si>
  <si>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</si>
  <si>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</si>
  <si>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</si>
  <si>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</si>
  <si>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</si>
  <si>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</si>
  <si>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</si>
  <si>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</si>
  <si>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</si>
  <si>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</si>
  <si>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</si>
  <si>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</si>
  <si>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</si>
  <si>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</si>
  <si>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</si>
  <si>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</si>
  <si>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</si>
  <si>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</si>
  <si>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</si>
  <si>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</si>
  <si>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</si>
  <si>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</si>
  <si>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</si>
  <si>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</si>
  <si>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</si>
  <si>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</si>
  <si>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</si>
  <si>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</si>
  <si>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</si>
  <si>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</si>
  <si>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</si>
  <si>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</si>
  <si>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</si>
  <si>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</si>
  <si>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</si>
  <si>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</si>
  <si>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</si>
  <si>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</si>
  <si>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</si>
  <si>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</si>
  <si>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</si>
  <si>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</si>
  <si>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</si>
  <si>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</si>
  <si>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</si>
  <si>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</si>
  <si>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</si>
  <si>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</si>
  <si>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</si>
  <si>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</si>
  <si>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</si>
  <si>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</si>
  <si>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</si>
  <si>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</si>
  <si>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</si>
  <si>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</si>
  <si>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</si>
  <si>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</si>
  <si>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</si>
  <si>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</si>
  <si>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</si>
  <si>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</si>
  <si>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</si>
  <si>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</si>
  <si>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</si>
  <si>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</si>
  <si>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</si>
  <si>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</si>
  <si>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</si>
  <si>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</si>
  <si>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</si>
  <si>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</si>
  <si>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</si>
  <si>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</si>
  <si>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</si>
  <si>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</si>
  <si>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</si>
  <si>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</si>
  <si>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</si>
  <si>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</si>
  <si>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</si>
  <si>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</si>
  <si>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</si>
  <si>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</si>
  <si>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</si>
  <si>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</si>
  <si>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</si>
  <si>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</si>
  <si>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</si>
  <si>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</si>
  <si>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</si>
  <si>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</si>
  <si>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</si>
  <si>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</si>
  <si>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</si>
  <si>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</si>
  <si>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</si>
  <si>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</si>
  <si>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</si>
  <si>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</si>
  <si>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</si>
  <si>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</si>
  <si>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</si>
  <si>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</si>
  <si>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</si>
  <si>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</si>
  <si>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</si>
  <si>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</si>
  <si>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</si>
  <si>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</si>
  <si>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</si>
  <si>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</si>
  <si>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</si>
  <si>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</si>
  <si>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</si>
  <si>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</si>
  <si>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</si>
  <si>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</si>
  <si>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</si>
  <si>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</si>
  <si>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</si>
  <si>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</si>
  <si>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</si>
  <si>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</si>
  <si>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</si>
  <si>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</si>
  <si>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</si>
  <si>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</si>
  <si>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</si>
  <si>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</si>
  <si>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</si>
  <si>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</si>
  <si>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</si>
  <si>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</si>
  <si>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</si>
  <si>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</si>
  <si>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</si>
  <si>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</si>
  <si>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</si>
  <si>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</si>
  <si>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</si>
  <si>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</si>
  <si>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</si>
  <si>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</si>
  <si>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</si>
  <si>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</si>
  <si>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</si>
  <si>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</si>
  <si>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</si>
  <si>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</si>
  <si>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</si>
  <si>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</si>
  <si>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</si>
  <si>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</si>
  <si>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</si>
  <si>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</si>
  <si>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</si>
  <si>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</si>
  <si>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</si>
  <si>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</si>
  <si>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</si>
  <si>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</si>
  <si>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</si>
  <si>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</si>
  <si>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</si>
  <si>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</si>
  <si>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</si>
  <si>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</si>
  <si>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</si>
  <si>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</si>
  <si>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</si>
  <si>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</si>
  <si>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</si>
  <si>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</si>
  <si>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</si>
  <si>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</si>
  <si>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</si>
  <si>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</si>
  <si>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</si>
  <si>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</si>
  <si>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</si>
  <si>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</si>
  <si>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</si>
  <si>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</si>
  <si>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</si>
  <si>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</si>
  <si>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</si>
  <si>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</si>
  <si>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</si>
  <si>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</si>
  <si>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</si>
  <si>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</si>
  <si>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</si>
  <si>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</si>
  <si>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</si>
  <si>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</si>
  <si>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</si>
  <si>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</si>
  <si>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</si>
  <si>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</si>
  <si>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</si>
  <si>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</si>
  <si>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</si>
  <si>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</si>
  <si>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</si>
  <si>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</si>
  <si>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</si>
  <si>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</si>
  <si>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</si>
  <si>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</si>
  <si>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</si>
  <si>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</si>
  <si>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</si>
  <si>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</si>
  <si>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</si>
  <si>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</si>
  <si>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</si>
  <si>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</si>
  <si>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</si>
  <si>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</si>
  <si>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</si>
  <si>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</si>
  <si>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</si>
  <si>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</si>
  <si>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</si>
  <si>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</si>
  <si>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</si>
  <si>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</si>
  <si>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</si>
  <si>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</si>
  <si>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</si>
  <si>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</si>
  <si>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</si>
  <si>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</si>
  <si>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</si>
  <si>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</si>
  <si>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</si>
  <si>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</si>
  <si>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</si>
  <si>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</si>
  <si>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</si>
  <si>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</si>
  <si>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</si>
  <si>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</si>
  <si>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</si>
  <si>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</si>
  <si>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</si>
  <si>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</si>
  <si>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</si>
  <si>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</si>
  <si>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</si>
  <si>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</si>
  <si>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</si>
  <si>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</si>
  <si>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</si>
  <si>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</si>
  <si>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</si>
  <si>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</si>
  <si>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</si>
  <si>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</si>
  <si>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</si>
  <si>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</si>
  <si>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</si>
  <si>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</si>
  <si>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</si>
  <si>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</si>
  <si>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</si>
  <si>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</si>
  <si>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</si>
  <si>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</si>
  <si>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</si>
  <si>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</si>
  <si>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</si>
  <si>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</si>
  <si>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</si>
  <si>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</si>
  <si>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</si>
  <si>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</si>
  <si>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</si>
  <si>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</si>
  <si>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</si>
  <si>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</si>
  <si>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</si>
  <si>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</si>
  <si>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</si>
  <si>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</si>
  <si>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</si>
  <si>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</si>
  <si>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</si>
  <si>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</si>
  <si>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</si>
  <si>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</si>
  <si>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</si>
  <si>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</si>
  <si>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</si>
  <si>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</si>
  <si>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</si>
  <si>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</si>
  <si>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</si>
  <si>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</si>
  <si>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</si>
  <si>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</si>
  <si>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</si>
  <si>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</si>
  <si>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</si>
  <si>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</si>
  <si>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</si>
  <si>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</si>
  <si>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</si>
  <si>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</si>
  <si>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</si>
  <si>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</si>
  <si>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</si>
  <si>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</si>
  <si>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</si>
  <si>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</si>
  <si>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</si>
  <si>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</si>
  <si>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</si>
  <si>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</si>
  <si>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</si>
  <si>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</si>
  <si>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</si>
  <si>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</si>
  <si>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</si>
  <si>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</si>
  <si>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</si>
  <si>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</si>
  <si>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</si>
  <si>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</si>
  <si>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</si>
  <si>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</si>
  <si>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</si>
  <si>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</si>
  <si>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</si>
  <si>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</si>
  <si>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</si>
  <si>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</si>
  <si>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</si>
  <si>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</si>
  <si>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</si>
  <si>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</si>
  <si>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</si>
  <si>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</si>
  <si>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</si>
  <si>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</si>
  <si>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</si>
  <si>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</si>
  <si>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</si>
  <si>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</si>
  <si>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</si>
  <si>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</si>
  <si>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</si>
  <si>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</si>
  <si>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</si>
  <si>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</si>
  <si>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</si>
  <si>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</si>
  <si>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</si>
  <si>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</si>
  <si>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</si>
  <si>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</si>
  <si>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</si>
  <si>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</si>
  <si>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</si>
  <si>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</si>
  <si>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</si>
  <si>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</si>
  <si>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</si>
  <si>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</si>
  <si>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</si>
  <si>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</si>
  <si>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</si>
  <si>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</si>
  <si>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</si>
  <si>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</si>
  <si>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</si>
  <si>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</si>
  <si>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</si>
  <si>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</si>
  <si>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</si>
  <si>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</si>
  <si>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</si>
  <si>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</si>
  <si>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</si>
  <si>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</si>
  <si>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</si>
  <si>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</si>
  <si>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</si>
  <si>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</si>
  <si>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</si>
  <si>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</si>
  <si>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</si>
  <si>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</si>
  <si>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</si>
  <si>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</si>
  <si>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</si>
  <si>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</si>
  <si>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</si>
  <si>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</si>
  <si>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</si>
  <si>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</si>
  <si>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</si>
  <si>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</si>
  <si>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</si>
  <si>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</si>
  <si>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</si>
  <si>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</si>
  <si>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</si>
  <si>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</si>
  <si>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</si>
  <si>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</si>
  <si>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</si>
  <si>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</si>
  <si>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</si>
  <si>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</si>
  <si>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</si>
  <si>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</si>
  <si>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</si>
  <si>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</si>
  <si>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</si>
  <si>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</si>
  <si>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</si>
  <si>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</si>
  <si>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</si>
  <si>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</si>
  <si>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</si>
  <si>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</si>
  <si>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</si>
  <si>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</si>
  <si>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</si>
  <si>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</si>
  <si>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</si>
  <si>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</si>
  <si>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</si>
  <si>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</si>
  <si>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</si>
  <si>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</si>
  <si>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</si>
  <si>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</si>
  <si>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</si>
  <si>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</si>
  <si>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</si>
  <si>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</si>
  <si>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</si>
  <si>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</si>
  <si>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</si>
  <si>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</si>
  <si>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</si>
  <si>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</si>
  <si>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</si>
  <si>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</si>
  <si>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</si>
  <si>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</si>
  <si>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</si>
  <si>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</si>
  <si>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</si>
  <si>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</si>
  <si>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</si>
  <si>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</si>
  <si>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</si>
  <si>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</si>
  <si>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</si>
  <si>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</si>
  <si>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</si>
  <si>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</si>
  <si>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</si>
  <si>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</si>
  <si>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</si>
  <si>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</si>
  <si>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</si>
  <si>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</si>
  <si>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</si>
  <si>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</si>
  <si>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</si>
  <si>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</si>
  <si>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</si>
  <si>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</si>
  <si>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</si>
  <si>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</si>
  <si>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</si>
  <si>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</si>
  <si>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</si>
  <si>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</si>
  <si>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</si>
  <si>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</si>
  <si>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</si>
  <si>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</si>
  <si>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</si>
  <si>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</si>
  <si>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</si>
  <si>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</si>
  <si>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</si>
  <si>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</si>
  <si>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</si>
  <si>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</si>
  <si>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</si>
  <si>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</si>
  <si>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</si>
  <si>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</si>
  <si>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</si>
  <si>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</si>
  <si>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</si>
  <si>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</si>
  <si>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</si>
  <si>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</si>
  <si>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</si>
  <si>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</si>
  <si>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</si>
  <si>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</si>
  <si>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</si>
  <si>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</si>
  <si>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</si>
  <si>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</si>
  <si>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</si>
  <si>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</si>
  <si>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</si>
  <si>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</si>
  <si>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</si>
  <si>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</si>
  <si>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</si>
  <si>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</si>
  <si>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</si>
  <si>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</si>
  <si>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</si>
  <si>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</si>
  <si>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</si>
  <si>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</si>
  <si>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</si>
  <si>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</si>
  <si>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</si>
  <si>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</si>
  <si>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</si>
  <si>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</si>
  <si>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</si>
  <si>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</si>
  <si>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</si>
  <si>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</si>
  <si>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</si>
  <si>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</si>
  <si>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</si>
  <si>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</si>
  <si>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</si>
  <si>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</si>
  <si>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</si>
  <si>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</si>
  <si>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</si>
  <si>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</si>
  <si>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</si>
  <si>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</si>
  <si>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</si>
  <si>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</si>
  <si>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</si>
  <si>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</si>
  <si>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</si>
  <si>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</si>
  <si>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</si>
  <si>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</si>
  <si>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</si>
  <si>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</si>
  <si>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</si>
  <si>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</si>
  <si>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</si>
  <si>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</si>
  <si>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</si>
  <si>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</si>
  <si>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</si>
  <si>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</si>
  <si>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</si>
  <si>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</si>
  <si>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</si>
  <si>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</si>
  <si>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</si>
  <si>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</si>
  <si>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</si>
  <si>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</si>
  <si>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</si>
  <si>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</si>
  <si>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</si>
  <si>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</si>
  <si>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</si>
  <si>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</si>
  <si>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</si>
  <si>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</si>
  <si>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</si>
  <si>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</si>
  <si>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</si>
  <si>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</si>
  <si>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</si>
  <si>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</si>
  <si>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</si>
  <si>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</si>
  <si>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</si>
  <si>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</si>
  <si>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</si>
  <si>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</si>
  <si>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</si>
  <si>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</si>
  <si>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</si>
  <si>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</si>
  <si>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</si>
  <si>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</si>
  <si>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</si>
  <si>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</si>
  <si>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</si>
  <si>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</si>
  <si>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</si>
  <si>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</si>
  <si>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</si>
  <si>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</si>
  <si>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</si>
  <si>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</si>
  <si>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</si>
  <si>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</si>
  <si>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</si>
  <si>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</si>
  <si>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</si>
  <si>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</si>
  <si>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</si>
  <si>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</si>
  <si>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</si>
  <si>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</si>
  <si>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</si>
  <si>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</si>
  <si>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</si>
  <si>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</si>
  <si>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</si>
  <si>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</si>
  <si>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</si>
  <si>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</si>
  <si>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</si>
  <si>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</si>
  <si>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</si>
  <si>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</si>
  <si>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</si>
  <si>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</si>
  <si>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</si>
  <si>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</si>
  <si>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</si>
  <si>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</si>
  <si>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</si>
  <si>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</si>
  <si>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</si>
  <si>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</si>
  <si>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</si>
  <si>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</si>
  <si>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</si>
  <si>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</si>
  <si>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</si>
  <si>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</si>
  <si>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</si>
  <si>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</si>
  <si>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</si>
  <si>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</si>
  <si>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</si>
  <si>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</si>
  <si>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</si>
  <si>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</si>
  <si>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</si>
  <si>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</si>
  <si>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</si>
  <si>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</si>
  <si>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</si>
  <si>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</si>
  <si>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</si>
  <si>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</si>
  <si>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</si>
  <si>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</si>
  <si>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</si>
  <si>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</si>
  <si>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</si>
  <si>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</si>
  <si>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</si>
  <si>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</si>
  <si>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</si>
  <si>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</si>
  <si>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</si>
  <si>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</si>
  <si>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</si>
  <si>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</si>
  <si>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</si>
  <si>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</si>
  <si>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</si>
  <si>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</si>
  <si>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</si>
  <si>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</si>
  <si>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</si>
  <si>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</si>
  <si>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</si>
  <si>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</si>
  <si>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</si>
  <si>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</si>
  <si>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</si>
  <si>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</si>
  <si>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</si>
  <si>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</si>
  <si>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</si>
  <si>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</si>
  <si>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</si>
  <si>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</si>
  <si>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</si>
  <si>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</si>
  <si>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</si>
  <si>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</si>
  <si>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</si>
  <si>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</si>
  <si>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</si>
  <si>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</si>
  <si>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</si>
  <si>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</si>
  <si>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</si>
  <si>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</si>
  <si>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</si>
  <si>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</si>
  <si>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</si>
  <si>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</si>
  <si>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</si>
  <si>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</si>
  <si>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</si>
  <si>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</si>
  <si>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</si>
  <si>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</si>
  <si>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</si>
  <si>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</si>
  <si>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</si>
  <si>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</si>
  <si>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</si>
  <si>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</si>
  <si>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</si>
  <si>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</si>
  <si>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</si>
  <si>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</si>
  <si>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</si>
  <si>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</si>
  <si>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</si>
  <si>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</si>
  <si>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</si>
  <si>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</si>
  <si>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</si>
  <si>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</si>
  <si>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</si>
  <si>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</si>
  <si>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</si>
  <si>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</si>
  <si>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</si>
  <si>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</si>
  <si>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</si>
  <si>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</si>
  <si>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</si>
  <si>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</si>
  <si>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</si>
  <si>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</si>
  <si>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</si>
  <si>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</si>
  <si>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</si>
  <si>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</si>
  <si>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</si>
  <si>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</si>
  <si>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</si>
  <si>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</si>
  <si>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</si>
  <si>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</si>
  <si>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</si>
  <si>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</si>
  <si>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</si>
  <si>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</si>
  <si>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</si>
  <si>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</si>
  <si>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</si>
  <si>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</si>
  <si>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</si>
  <si>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</si>
  <si>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</si>
  <si>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</si>
  <si>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</si>
  <si>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</si>
  <si>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</si>
  <si>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</si>
  <si>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</si>
  <si>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</si>
  <si>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</si>
  <si>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</si>
  <si>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</si>
  <si>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</si>
  <si>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</si>
  <si>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</si>
  <si>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</si>
  <si>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</si>
  <si>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</si>
  <si>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</si>
  <si>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</si>
  <si>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</si>
  <si>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</si>
  <si>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</si>
  <si>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</si>
  <si>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</si>
  <si>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</si>
  <si>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</si>
  <si>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</si>
  <si>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</si>
  <si>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</si>
  <si>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</si>
  <si>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</si>
  <si>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</si>
  <si>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</si>
  <si>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</si>
  <si>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</si>
  <si>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</si>
  <si>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</si>
  <si>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</si>
  <si>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</si>
  <si>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</si>
  <si>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</si>
  <si>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</si>
  <si>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</si>
  <si>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</si>
  <si>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</si>
  <si>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</si>
  <si>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</si>
  <si>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</si>
  <si>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</si>
  <si>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</si>
  <si>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</si>
  <si>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</si>
  <si>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</si>
  <si>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</si>
  <si>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</si>
  <si>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</si>
  <si>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</si>
  <si>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</si>
  <si>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</si>
  <si>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</si>
  <si>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</si>
  <si>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</si>
  <si>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</si>
  <si>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</si>
  <si>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</si>
  <si>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</si>
  <si>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</si>
  <si>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</si>
  <si>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</si>
  <si>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</si>
  <si>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</si>
  <si>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</si>
  <si>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</si>
  <si>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</si>
  <si>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</si>
  <si>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</si>
  <si>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</si>
  <si>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</si>
  <si>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</si>
  <si>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</si>
  <si>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</si>
  <si>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</si>
  <si>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</si>
  <si>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</si>
  <si>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</si>
  <si>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</si>
  <si>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</si>
  <si>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</si>
  <si>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</si>
  <si>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</si>
  <si>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</si>
  <si>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</si>
  <si>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</si>
  <si>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</si>
  <si>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</si>
  <si>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</si>
  <si>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</si>
  <si>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</si>
  <si>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</si>
  <si>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</si>
  <si>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</si>
  <si>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</si>
  <si>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</si>
  <si>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</si>
  <si>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</si>
  <si>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</si>
  <si>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</si>
  <si>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</si>
  <si>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</si>
  <si>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</si>
  <si>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</si>
  <si>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</si>
  <si>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</si>
  <si>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</si>
  <si>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</si>
  <si>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</si>
  <si>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</si>
  <si>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</si>
  <si>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</si>
  <si>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</si>
  <si>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</si>
  <si>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</si>
  <si>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</si>
  <si>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</si>
  <si>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</si>
  <si>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</si>
  <si>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</si>
  <si>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</si>
  <si>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</si>
  <si>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</si>
  <si>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</si>
  <si>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</si>
  <si>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</si>
  <si>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</si>
  <si>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</si>
  <si>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</si>
  <si>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</si>
  <si>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</si>
  <si>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</si>
  <si>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</si>
  <si>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</si>
  <si>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</si>
  <si>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</si>
  <si>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</si>
  <si>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</si>
  <si>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</si>
  <si>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</si>
  <si>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</si>
  <si>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</si>
  <si>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</si>
  <si>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</si>
  <si>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</si>
  <si>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</si>
  <si>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</si>
  <si>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</si>
  <si>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</si>
  <si>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</si>
  <si>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</si>
  <si>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</si>
  <si>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</si>
  <si>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</si>
  <si>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</si>
  <si>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</si>
  <si>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</si>
  <si>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</si>
  <si>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</si>
  <si>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</si>
  <si>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</si>
  <si>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</si>
  <si>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</si>
  <si>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</si>
  <si>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</si>
  <si>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</si>
  <si>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</si>
  <si>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</si>
  <si>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</si>
  <si>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</si>
  <si>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</si>
  <si>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</si>
  <si>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</si>
  <si>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</si>
  <si>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</si>
  <si>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</si>
  <si>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</si>
  <si>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</si>
  <si>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</si>
  <si>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</si>
  <si>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</si>
  <si>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</si>
  <si>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</si>
  <si>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</si>
  <si>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</si>
  <si>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</si>
  <si>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</si>
  <si>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</si>
  <si>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</si>
  <si>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</si>
  <si>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</si>
  <si>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</si>
  <si>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</si>
  <si>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</si>
  <si>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</si>
  <si>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</si>
  <si>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</si>
  <si>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</si>
  <si>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</si>
  <si>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</si>
  <si>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</si>
  <si>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</si>
  <si>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</si>
  <si>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</si>
  <si>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</si>
  <si>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</si>
  <si>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</si>
  <si>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</si>
  <si>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</si>
  <si>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</si>
  <si>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</si>
  <si>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</si>
  <si>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</si>
  <si>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</si>
  <si>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</si>
  <si>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</si>
  <si>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</si>
  <si>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</si>
  <si>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</si>
  <si>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</si>
  <si>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</si>
  <si>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</si>
  <si>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</si>
  <si>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</si>
  <si>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</si>
  <si>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</si>
  <si>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</si>
  <si>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</si>
  <si>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</si>
  <si>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</si>
  <si>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</si>
  <si>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</si>
  <si>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</si>
  <si>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</si>
  <si>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</si>
  <si>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</si>
  <si>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</si>
  <si>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</si>
  <si>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</si>
  <si>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</si>
  <si>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</si>
  <si>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</si>
  <si>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</si>
  <si>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</si>
  <si>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</si>
  <si>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</si>
  <si>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</si>
  <si>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</si>
  <si>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</si>
  <si>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</si>
  <si>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</si>
  <si>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</si>
  <si>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</si>
  <si>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</si>
  <si>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</si>
  <si>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</si>
  <si>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</si>
  <si>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</si>
  <si>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</si>
  <si>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</si>
  <si>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</si>
  <si>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</si>
  <si>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</si>
  <si>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</si>
  <si>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</si>
  <si>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</si>
  <si>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</si>
  <si>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</si>
  <si>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</si>
  <si>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</si>
  <si>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</si>
  <si>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</si>
  <si>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</si>
  <si>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</si>
  <si>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</si>
  <si>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</si>
  <si>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</si>
  <si>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</si>
  <si>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</si>
  <si>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</si>
  <si>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</si>
  <si>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</si>
  <si>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</si>
  <si>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</si>
  <si>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</si>
  <si>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</si>
  <si>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</si>
  <si>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</si>
  <si>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</si>
  <si>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</si>
  <si>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</si>
  <si>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</si>
  <si>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</si>
  <si>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</si>
  <si>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</si>
  <si>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</si>
  <si>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</si>
  <si>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</si>
  <si>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</si>
  <si>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</si>
  <si>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</si>
  <si>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</si>
  <si>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</si>
  <si>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</si>
  <si>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</si>
  <si>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</si>
  <si>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</si>
  <si>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</si>
  <si>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</si>
  <si>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</si>
  <si>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</si>
  <si>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</si>
  <si>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</si>
  <si>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</si>
  <si>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</si>
  <si>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</si>
  <si>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</si>
  <si>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</si>
  <si>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</si>
  <si>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</si>
  <si>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</si>
  <si>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</si>
  <si>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</si>
  <si>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</si>
  <si>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</si>
  <si>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</si>
  <si>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</si>
  <si>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</si>
  <si>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</si>
  <si>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</si>
  <si>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</si>
  <si>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</si>
  <si>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</si>
  <si>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</si>
  <si>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</si>
  <si>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</si>
  <si>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</si>
  <si>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</si>
  <si>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</si>
  <si>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</si>
  <si>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</si>
  <si>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</si>
  <si>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</si>
  <si>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</si>
  <si>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</si>
  <si>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</si>
  <si>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</si>
  <si>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</si>
  <si>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</si>
  <si>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</si>
  <si>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</si>
  <si>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</si>
  <si>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</si>
  <si>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</si>
  <si>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</si>
  <si>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</si>
  <si>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</si>
  <si>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</si>
  <si>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</si>
  <si>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</si>
  <si>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</si>
  <si>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</si>
  <si>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</si>
  <si>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</si>
  <si>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</si>
  <si>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</si>
  <si>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</si>
  <si>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</si>
  <si>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</si>
  <si>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</si>
  <si>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</si>
  <si>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</si>
  <si>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</si>
  <si>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</si>
  <si>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</si>
  <si>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</si>
  <si>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</si>
  <si>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</si>
  <si>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</si>
  <si>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</si>
  <si>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</si>
  <si>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</si>
  <si>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</si>
  <si>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</si>
  <si>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</si>
  <si>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</si>
  <si>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</si>
  <si>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</si>
  <si>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</si>
  <si>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</si>
  <si>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</si>
  <si>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</si>
  <si>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</si>
  <si>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</si>
  <si>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</si>
  <si>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</si>
  <si>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</si>
  <si>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</si>
  <si>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</si>
  <si>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</si>
  <si>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</si>
  <si>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</si>
  <si>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</si>
  <si>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</si>
  <si>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</si>
  <si>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</si>
  <si>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</si>
  <si>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</si>
  <si>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</si>
  <si>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</si>
  <si>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</si>
  <si>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</si>
  <si>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</si>
  <si>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</si>
  <si>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</si>
  <si>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</si>
  <si>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</si>
  <si>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</si>
  <si>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</si>
  <si>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</si>
  <si>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</si>
  <si>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</si>
  <si>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</si>
  <si>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</si>
  <si>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</si>
  <si>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</si>
  <si>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</si>
  <si>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</si>
  <si>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</si>
  <si>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</si>
  <si>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</si>
  <si>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</si>
  <si>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</si>
  <si>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</si>
  <si>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</si>
  <si>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</si>
  <si>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</si>
  <si>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</si>
  <si>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</si>
  <si>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</si>
  <si>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</si>
  <si>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</si>
  <si>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</si>
  <si>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</si>
  <si>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</si>
  <si>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</si>
  <si>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</si>
  <si>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</si>
  <si>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</si>
  <si>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</si>
  <si>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</si>
  <si>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</si>
  <si>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</si>
  <si>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</si>
  <si>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</si>
  <si>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</si>
  <si>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</si>
  <si>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</si>
  <si>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</si>
  <si>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</si>
  <si>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</si>
  <si>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</si>
  <si>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</si>
  <si>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</si>
  <si>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</si>
  <si>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</si>
  <si>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</si>
  <si>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</si>
  <si>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</si>
  <si>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</si>
  <si>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</si>
  <si>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</si>
  <si>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</si>
  <si>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</si>
  <si>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</si>
  <si>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</si>
  <si>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</si>
  <si>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</si>
  <si>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</si>
  <si>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</si>
  <si>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</si>
  <si>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</si>
  <si>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</si>
  <si>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</si>
  <si>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</si>
  <si>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</si>
  <si>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</si>
  <si>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</si>
  <si>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</si>
  <si>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</si>
  <si>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</si>
  <si>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</si>
  <si>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</si>
  <si>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</si>
  <si>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</si>
  <si>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</si>
  <si>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</si>
  <si>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</si>
  <si>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</si>
  <si>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</si>
  <si>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</si>
  <si>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</si>
  <si>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</si>
  <si>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</si>
  <si>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</si>
  <si>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</si>
  <si>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</si>
  <si>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</si>
  <si>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</si>
  <si>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</si>
  <si>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</si>
  <si>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</si>
  <si>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</si>
  <si>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</si>
  <si>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</si>
  <si>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</si>
  <si>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</si>
  <si>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</si>
  <si>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</si>
  <si>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</si>
  <si>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</si>
  <si>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</si>
  <si>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</si>
  <si>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</si>
  <si>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</si>
  <si>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</si>
  <si>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</si>
  <si>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</si>
  <si>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</si>
  <si>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</si>
  <si>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</si>
  <si>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</si>
  <si>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</si>
  <si>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</si>
  <si>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</si>
  <si>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</si>
  <si>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</si>
  <si>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</si>
  <si>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</si>
  <si>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</si>
  <si>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</si>
  <si>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</si>
  <si>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</si>
  <si>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</si>
  <si>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</si>
  <si>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</si>
  <si>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</si>
  <si>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</si>
  <si>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</si>
  <si>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</si>
  <si>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</si>
  <si>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</si>
  <si>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</si>
  <si>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</si>
  <si>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</si>
  <si>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</si>
  <si>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</si>
  <si>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</si>
  <si>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</si>
  <si>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</si>
  <si>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</si>
  <si>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</si>
  <si>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</si>
  <si>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</si>
  <si>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</si>
  <si>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</si>
  <si>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</si>
  <si>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</si>
  <si>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</si>
  <si>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</si>
  <si>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</si>
  <si>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</si>
  <si>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</si>
  <si>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</si>
  <si>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</si>
  <si>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</si>
  <si>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</si>
  <si>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</si>
  <si>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</si>
  <si>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</si>
  <si>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</si>
  <si>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</si>
  <si>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</si>
  <si>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</si>
  <si>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</si>
  <si>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</si>
  <si>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</si>
  <si>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</si>
  <si>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</si>
  <si>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</si>
  <si>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</si>
  <si>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</si>
  <si>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</si>
  <si>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</si>
  <si>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</si>
  <si>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</si>
  <si>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</si>
  <si>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</si>
  <si>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</si>
  <si>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</si>
  <si>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</si>
  <si>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</si>
  <si>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</si>
  <si>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</si>
  <si>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</si>
  <si>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</si>
  <si>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</si>
  <si>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</si>
  <si>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</si>
  <si>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</si>
  <si>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</si>
  <si>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</si>
  <si>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</si>
  <si>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</si>
  <si>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</si>
  <si>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</si>
  <si>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</si>
  <si>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</si>
  <si>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</si>
  <si>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</si>
  <si>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</si>
  <si>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</si>
  <si>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</si>
  <si>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</si>
  <si>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</si>
  <si>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</si>
  <si>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</si>
  <si>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</si>
  <si>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</si>
  <si>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</si>
  <si>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</si>
  <si>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</si>
  <si>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</si>
  <si>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</si>
  <si>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</si>
  <si>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</si>
  <si>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</si>
  <si>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</si>
  <si>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</si>
  <si>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</si>
  <si>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</si>
  <si>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</si>
  <si>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</si>
  <si>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</si>
  <si>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</si>
  <si>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</si>
  <si>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</si>
  <si>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</si>
  <si>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</si>
  <si>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</si>
  <si>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</si>
  <si>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</si>
  <si>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</si>
  <si>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</si>
  <si>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</si>
  <si>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</si>
  <si>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</si>
  <si>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</si>
  <si>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</si>
  <si>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</si>
  <si>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</si>
  <si>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</si>
  <si>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</si>
  <si>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</si>
  <si>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</si>
  <si>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</si>
  <si>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</si>
  <si>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</si>
  <si>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</si>
  <si>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</si>
  <si>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</si>
  <si>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</si>
  <si>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</si>
  <si>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</si>
  <si>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</si>
  <si>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</si>
  <si>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</si>
  <si>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</si>
  <si>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</si>
  <si>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</si>
  <si>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</si>
  <si>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</si>
  <si>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</si>
  <si>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</si>
  <si>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</si>
  <si>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</si>
  <si>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</si>
  <si>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</si>
  <si>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</si>
  <si>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</si>
  <si>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</si>
  <si>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</si>
  <si>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</si>
  <si>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</si>
  <si>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</si>
  <si>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</si>
  <si>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</si>
  <si>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</si>
  <si>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</si>
  <si>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</si>
  <si>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</si>
  <si>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</si>
  <si>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</si>
  <si>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</si>
  <si>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</si>
  <si>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</si>
  <si>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</si>
  <si>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</si>
  <si>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</si>
  <si>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</si>
  <si>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</si>
  <si>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</si>
  <si>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</si>
  <si>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</si>
  <si>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</si>
  <si>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</si>
  <si>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</si>
  <si>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</si>
  <si>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</si>
  <si>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</si>
  <si>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</si>
  <si>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</si>
  <si>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</si>
  <si>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</si>
  <si>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</si>
  <si>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</si>
  <si>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</si>
  <si>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</si>
  <si>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</si>
  <si>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</si>
  <si>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</si>
  <si>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</si>
  <si>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</si>
  <si>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</si>
  <si>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</si>
  <si>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</si>
  <si>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</si>
  <si>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</si>
  <si>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</si>
  <si>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</si>
  <si>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</si>
  <si>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</si>
  <si>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</si>
  <si>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</si>
  <si>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</si>
  <si>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</si>
  <si>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</si>
  <si>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</si>
  <si>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</si>
  <si>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</si>
  <si>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</si>
  <si>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</si>
  <si>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</si>
  <si>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</si>
  <si>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</si>
  <si>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</si>
  <si>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</si>
  <si>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</si>
  <si>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</si>
  <si>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</si>
  <si>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</si>
  <si>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</si>
  <si>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</si>
  <si>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</si>
  <si>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</si>
  <si>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</si>
  <si>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</si>
  <si>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</si>
  <si>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</si>
  <si>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</si>
  <si>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</si>
  <si>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</si>
  <si>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</si>
  <si>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</si>
  <si>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</si>
  <si>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</si>
  <si>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</si>
  <si>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</si>
  <si>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</si>
  <si>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</si>
  <si>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</si>
  <si>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</si>
  <si>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</si>
  <si>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</si>
  <si>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</si>
  <si>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</si>
  <si>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</si>
  <si>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</si>
  <si>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</si>
  <si>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</si>
  <si>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</si>
  <si>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</si>
  <si>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</si>
  <si>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</si>
  <si>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</si>
  <si>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</si>
  <si>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</si>
  <si>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</si>
  <si>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</si>
  <si>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</si>
  <si>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</si>
  <si>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</si>
  <si>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</si>
  <si>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</si>
  <si>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</si>
  <si>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</si>
  <si>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</si>
  <si>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</si>
  <si>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</si>
  <si>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</si>
  <si>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</si>
  <si>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</si>
  <si>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</si>
  <si>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</si>
  <si>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</si>
  <si>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</si>
  <si>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</si>
  <si>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</si>
  <si>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</si>
  <si>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</si>
  <si>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</si>
  <si>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</si>
  <si>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</si>
  <si>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</si>
  <si>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</si>
  <si>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</si>
  <si>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</si>
  <si>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</si>
  <si>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</si>
  <si>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</si>
  <si>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</si>
  <si>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</si>
  <si>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</si>
  <si>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</si>
  <si>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</si>
  <si>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</si>
  <si>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</si>
  <si>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</si>
  <si>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</si>
  <si>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</si>
  <si>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</si>
  <si>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</si>
  <si>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</si>
  <si>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</si>
  <si>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</si>
  <si>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</si>
  <si>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</si>
  <si>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</si>
  <si>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</si>
  <si>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</si>
  <si>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</si>
  <si>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</si>
  <si>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</si>
  <si>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</si>
  <si>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</si>
  <si>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</si>
  <si>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</si>
  <si>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</si>
  <si>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</si>
  <si>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</si>
  <si>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</si>
  <si>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</si>
  <si>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</si>
  <si>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</si>
  <si>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</si>
  <si>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</si>
  <si>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</si>
  <si>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</si>
  <si>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</si>
  <si>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</si>
  <si>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</si>
  <si>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</si>
  <si>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</si>
  <si>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</si>
  <si>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</si>
  <si>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</si>
  <si>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</si>
  <si>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</si>
  <si>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</si>
  <si>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</si>
  <si>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</si>
  <si>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</si>
  <si>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</si>
  <si>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</si>
  <si>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</si>
  <si>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</si>
  <si>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</si>
  <si>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</si>
  <si>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</si>
  <si>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</si>
  <si>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</si>
  <si>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</si>
  <si>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</si>
  <si>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</si>
  <si>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</si>
  <si>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</si>
  <si>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</si>
  <si>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</si>
  <si>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</si>
  <si>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</si>
  <si>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</si>
  <si>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</si>
  <si>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</si>
  <si>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</si>
  <si>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</si>
  <si>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</si>
  <si>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</si>
  <si>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</si>
  <si>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</si>
  <si>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</si>
  <si>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</si>
  <si>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</si>
  <si>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</si>
  <si>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</si>
  <si>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</si>
  <si>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</si>
  <si>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</si>
  <si>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</si>
  <si>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</si>
  <si>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</si>
  <si>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</si>
  <si>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</si>
  <si>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</si>
  <si>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</si>
  <si>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</si>
  <si>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</si>
  <si>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</si>
  <si>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</si>
  <si>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</si>
  <si>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</si>
  <si>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</si>
  <si>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</si>
  <si>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</si>
  <si>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</si>
  <si>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</si>
  <si>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</si>
  <si>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</si>
  <si>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</si>
  <si>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</si>
  <si>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</si>
  <si>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</si>
  <si>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</si>
  <si>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</si>
  <si>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</si>
  <si>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</si>
  <si>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</si>
  <si>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</si>
  <si>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</si>
  <si>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</si>
  <si>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</si>
  <si>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</si>
  <si>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</si>
  <si>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</si>
  <si>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</si>
  <si>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</si>
  <si>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</si>
  <si>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</si>
  <si>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</si>
  <si>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</si>
  <si>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</si>
  <si>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</si>
  <si>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</si>
  <si>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</si>
  <si>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</si>
  <si>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</si>
  <si>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</si>
  <si>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</si>
  <si>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</si>
  <si>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</si>
  <si>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</si>
  <si>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</si>
  <si>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</si>
  <si>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</si>
  <si>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</si>
  <si>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</si>
  <si>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</si>
  <si>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</si>
  <si>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</si>
  <si>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</si>
  <si>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</si>
  <si>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</si>
  <si>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</si>
  <si>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</si>
  <si>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</si>
  <si>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</si>
  <si>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</si>
  <si>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</si>
  <si>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</si>
  <si>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</si>
  <si>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</si>
  <si>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</si>
  <si>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</si>
  <si>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</si>
  <si>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</si>
  <si>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</si>
  <si>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</si>
  <si>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</si>
  <si>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</si>
  <si>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</si>
  <si>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</si>
  <si>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</si>
  <si>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</si>
  <si>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</si>
  <si>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</si>
  <si>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</si>
  <si>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</si>
  <si>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</si>
  <si>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</si>
  <si>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</si>
  <si>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</si>
  <si>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</si>
  <si>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</si>
  <si>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</si>
  <si>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</si>
  <si>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</si>
  <si>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</si>
  <si>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</si>
  <si>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</si>
  <si>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</si>
  <si>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</si>
  <si>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</si>
  <si>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</si>
  <si>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</si>
  <si>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</si>
  <si>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</si>
  <si>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</si>
  <si>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</si>
  <si>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</si>
  <si>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</si>
  <si>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</si>
  <si>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</si>
  <si>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</si>
  <si>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</si>
  <si>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</si>
  <si>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</si>
  <si>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</si>
  <si>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</si>
  <si>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</si>
  <si>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</si>
  <si>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</si>
  <si>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</si>
  <si>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</si>
  <si>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</si>
  <si>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</si>
  <si>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</si>
  <si>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</si>
  <si>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</si>
  <si>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</si>
  <si>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</si>
  <si>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</si>
  <si>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</si>
  <si>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</si>
  <si>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</si>
  <si>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</si>
  <si>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</si>
  <si>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</si>
  <si>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</si>
  <si>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</si>
  <si>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</si>
  <si>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</si>
  <si>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</si>
  <si>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</si>
  <si>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</si>
  <si>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</si>
  <si>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</si>
  <si>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</si>
  <si>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</si>
  <si>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</si>
  <si>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</si>
  <si>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</si>
  <si>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</si>
  <si>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</si>
  <si>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</si>
  <si>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</si>
  <si>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</si>
  <si>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</si>
  <si>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</si>
  <si>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</si>
  <si>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</si>
  <si>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</si>
  <si>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</si>
  <si>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</si>
  <si>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</si>
  <si>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</si>
  <si>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</si>
  <si>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</si>
  <si>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</si>
  <si>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</si>
  <si>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</si>
  <si>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</si>
  <si>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</si>
  <si>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</si>
  <si>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</si>
  <si>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</si>
  <si>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</si>
  <si>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</si>
  <si>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</si>
  <si>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</si>
  <si>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</si>
  <si>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</si>
  <si>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</si>
  <si>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</si>
  <si>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</si>
  <si>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</si>
  <si>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</si>
  <si>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</si>
  <si>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</si>
  <si>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</si>
  <si>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</si>
  <si>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</si>
  <si>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</si>
  <si>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</si>
  <si>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</si>
  <si>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</si>
  <si>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</si>
  <si>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</si>
  <si>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</si>
  <si>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</si>
  <si>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</si>
  <si>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</si>
  <si>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</si>
  <si>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</si>
  <si>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</si>
  <si>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</si>
  <si>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</si>
  <si>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</si>
  <si>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</si>
  <si>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</si>
  <si>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</si>
  <si>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</si>
  <si>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</si>
  <si>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</si>
  <si>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</si>
  <si>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</si>
  <si>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</si>
  <si>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</si>
  <si>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</si>
  <si>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</si>
  <si>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</si>
  <si>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</si>
  <si>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</si>
  <si>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</si>
  <si>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</si>
  <si>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</si>
  <si>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</si>
  <si>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</si>
  <si>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</si>
  <si>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</si>
  <si>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</si>
  <si>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</si>
  <si>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</si>
  <si>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</si>
  <si>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</si>
  <si>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</si>
  <si>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</si>
  <si>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</si>
  <si>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</si>
  <si>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</si>
  <si>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</si>
  <si>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</si>
  <si>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</si>
  <si>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</si>
  <si>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</si>
  <si>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</si>
  <si>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</si>
  <si>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</si>
  <si>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</si>
  <si>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</si>
  <si>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</si>
  <si>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</si>
  <si>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</si>
  <si>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</si>
  <si>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</si>
  <si>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</si>
  <si>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</si>
  <si>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</si>
  <si>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</si>
  <si>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</si>
  <si>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</si>
  <si>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</si>
  <si>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</si>
  <si>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</si>
  <si>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</si>
  <si>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</si>
  <si>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</si>
  <si>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</si>
  <si>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</si>
  <si>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</si>
  <si>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</si>
  <si>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</si>
  <si>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</si>
  <si>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</si>
  <si>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</si>
  <si>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</si>
  <si>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</si>
  <si>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</si>
  <si>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</si>
  <si>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</si>
  <si>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</si>
  <si>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</si>
  <si>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</si>
  <si>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</si>
  <si>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</si>
  <si>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</si>
  <si>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</si>
  <si>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</si>
  <si>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</si>
  <si>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</si>
  <si>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</si>
  <si>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</si>
  <si>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</si>
  <si>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</si>
  <si>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</si>
  <si>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</si>
  <si>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</si>
  <si>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</si>
  <si>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</si>
  <si>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</si>
  <si>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</si>
  <si>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</si>
  <si>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</si>
  <si>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</si>
  <si>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</si>
  <si>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</si>
  <si>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</si>
  <si>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</si>
  <si>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</si>
  <si>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</si>
  <si>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</si>
  <si>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</si>
  <si>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</si>
  <si>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</si>
  <si>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</si>
  <si>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</si>
  <si>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</si>
  <si>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</si>
  <si>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</si>
  <si>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</si>
  <si>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</si>
  <si>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</si>
  <si>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</si>
  <si>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</si>
  <si>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</si>
  <si>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</si>
  <si>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</si>
  <si>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</si>
  <si>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</si>
  <si>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</si>
  <si>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</si>
  <si>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</si>
  <si>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</si>
  <si>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</si>
  <si>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</si>
  <si>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</si>
  <si>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</si>
  <si>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</si>
  <si>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</si>
  <si>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</si>
  <si>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</si>
  <si>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</si>
  <si>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</si>
  <si>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</si>
  <si>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</si>
  <si>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</si>
  <si>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</si>
  <si>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</si>
  <si>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</si>
  <si>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</si>
  <si>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</si>
  <si>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</si>
  <si>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</si>
  <si>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</si>
  <si>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</si>
  <si>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</si>
  <si>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</si>
  <si>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</si>
  <si>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</si>
  <si>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</si>
  <si>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</si>
  <si>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</si>
  <si>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</si>
  <si>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</si>
  <si>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</si>
  <si>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</si>
  <si>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</si>
  <si>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</si>
  <si>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</si>
  <si>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</si>
  <si>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</si>
  <si>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</si>
  <si>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</si>
  <si>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</si>
  <si>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</si>
  <si>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</si>
  <si>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</si>
  <si>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</si>
  <si>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</si>
  <si>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</si>
  <si>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</si>
  <si>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</si>
  <si>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</si>
  <si>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</si>
  <si>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</si>
  <si>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</si>
  <si>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</si>
  <si>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</si>
  <si>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</si>
  <si>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</si>
  <si>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</si>
  <si>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</si>
  <si>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</si>
  <si>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</si>
  <si>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</si>
  <si>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</si>
  <si>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</si>
  <si>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</si>
  <si>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</si>
  <si>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</si>
  <si>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</si>
  <si>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</si>
  <si>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</si>
  <si>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</si>
  <si>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</si>
  <si>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</si>
  <si>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</si>
  <si>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</si>
  <si>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</si>
  <si>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</si>
  <si>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</si>
  <si>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</si>
  <si>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</si>
  <si>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</si>
  <si>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</si>
  <si>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</si>
  <si>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</si>
  <si>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</si>
  <si>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</si>
  <si>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</si>
  <si>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</si>
  <si>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</si>
  <si>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</si>
  <si>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</si>
  <si>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</si>
  <si>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</si>
  <si>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</si>
  <si>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</si>
  <si>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</si>
  <si>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</si>
  <si>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</si>
  <si>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</si>
  <si>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</si>
  <si>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</si>
  <si>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</si>
  <si>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</si>
  <si>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</si>
  <si>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</si>
  <si>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</si>
  <si>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</si>
  <si>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</si>
  <si>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</si>
  <si>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</si>
  <si>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</si>
  <si>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</si>
  <si>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</si>
  <si>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</si>
  <si>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</si>
  <si>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</si>
  <si>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</si>
  <si>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</si>
  <si>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</si>
  <si>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</si>
  <si>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</si>
  <si>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</si>
  <si>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</si>
  <si>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</si>
  <si>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</si>
  <si>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</si>
  <si>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</si>
  <si>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</si>
  <si>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</si>
  <si>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</si>
  <si>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</si>
  <si>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</si>
  <si>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</si>
  <si>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</si>
  <si>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</si>
  <si>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</si>
  <si>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</si>
  <si>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</si>
  <si>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</si>
  <si>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</si>
  <si>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</si>
  <si>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</si>
  <si>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</si>
  <si>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</si>
  <si>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</si>
  <si>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</si>
  <si>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</si>
  <si>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</si>
  <si>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</si>
  <si>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</si>
  <si>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</si>
  <si>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</si>
  <si>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</si>
  <si>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</si>
  <si>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</si>
  <si>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</si>
  <si>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</si>
  <si>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</si>
  <si>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</si>
  <si>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</si>
  <si>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</si>
  <si>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</si>
  <si>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</si>
  <si>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</si>
  <si>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</si>
  <si>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</si>
  <si>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</si>
  <si>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</si>
  <si>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</si>
  <si>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</si>
  <si>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</si>
  <si>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</si>
  <si>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</si>
  <si>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</si>
  <si>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</si>
  <si>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</si>
  <si>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</si>
  <si>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</si>
  <si>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</si>
  <si>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</si>
  <si>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</si>
  <si>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</si>
  <si>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</si>
  <si>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</si>
  <si>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</si>
  <si>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</si>
  <si>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</si>
  <si>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</si>
  <si>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</si>
  <si>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</si>
  <si>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</si>
  <si>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</si>
  <si>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</si>
  <si>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</si>
  <si>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</si>
  <si>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</si>
  <si>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</si>
  <si>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</si>
  <si>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</si>
  <si>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</si>
  <si>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</si>
  <si>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</si>
  <si>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</si>
  <si>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</si>
  <si>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</si>
  <si>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</si>
  <si>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</si>
  <si>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</si>
  <si>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</si>
  <si>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</si>
  <si>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</si>
  <si>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</si>
  <si>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</si>
  <si>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</si>
  <si>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</si>
  <si>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</si>
  <si>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</si>
  <si>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</si>
  <si>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</si>
  <si>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</si>
  <si>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</si>
  <si>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</si>
  <si>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</si>
  <si>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</si>
  <si>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</si>
  <si>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</si>
  <si>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</si>
  <si>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</si>
  <si>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</si>
  <si>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</si>
  <si>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</si>
  <si>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</si>
  <si>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</si>
  <si>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</si>
  <si>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</si>
  <si>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</si>
  <si>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</si>
  <si>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</si>
  <si>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</si>
  <si>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</si>
  <si>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</si>
  <si>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</si>
  <si>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</si>
  <si>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</si>
  <si>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</si>
  <si>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</si>
  <si>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</si>
  <si>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</si>
  <si>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</si>
  <si>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</si>
  <si>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</si>
  <si>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</si>
  <si>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</si>
  <si>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</si>
  <si>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</si>
  <si>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</si>
  <si>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</si>
  <si>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</si>
  <si>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</si>
  <si>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</si>
  <si>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</si>
  <si>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</si>
  <si>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</si>
  <si>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</si>
  <si>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</si>
  <si>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</si>
  <si>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</si>
  <si>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</si>
  <si>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</si>
  <si>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</si>
  <si>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</si>
  <si>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</si>
  <si>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</si>
  <si>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</si>
  <si>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</si>
  <si>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</si>
  <si>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</si>
  <si>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</si>
  <si>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</si>
  <si>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</si>
  <si>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</si>
  <si>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</si>
  <si>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</si>
  <si>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</si>
  <si>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</si>
  <si>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</si>
  <si>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</si>
  <si>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</si>
  <si>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</si>
  <si>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</si>
  <si>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</si>
  <si>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</si>
  <si>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</si>
  <si>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</si>
  <si>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</si>
  <si>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</si>
  <si>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</si>
  <si>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</si>
  <si>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</si>
  <si>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</si>
  <si>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</si>
  <si>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</si>
  <si>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</si>
  <si>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</si>
  <si>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</si>
  <si>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</si>
  <si>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</si>
  <si>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</si>
  <si>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</si>
  <si>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</si>
  <si>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</si>
  <si>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</si>
  <si>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</si>
  <si>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</si>
  <si>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</si>
  <si>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</si>
  <si>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</si>
  <si>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</si>
  <si>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</si>
  <si>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</si>
  <si>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</si>
  <si>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</si>
  <si>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</si>
  <si>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</si>
  <si>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</si>
  <si>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</si>
  <si>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</si>
  <si>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</si>
  <si>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</si>
  <si>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</si>
  <si>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</si>
  <si>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</si>
  <si>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</si>
  <si>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</si>
  <si>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</si>
  <si>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</si>
  <si>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</si>
  <si>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</si>
  <si>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</si>
  <si>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</si>
  <si>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</si>
  <si>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</si>
  <si>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</si>
  <si>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</si>
  <si>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</si>
  <si>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</si>
  <si>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</si>
  <si>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</si>
  <si>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</si>
  <si>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</si>
  <si>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</si>
  <si>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</si>
  <si>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</si>
  <si>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</si>
  <si>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</si>
  <si>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</si>
  <si>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</si>
  <si>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</si>
  <si>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</si>
  <si>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</si>
  <si>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</si>
  <si>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</si>
  <si>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</si>
  <si>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</si>
  <si>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</si>
  <si>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</si>
  <si>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</si>
  <si>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</si>
  <si>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</si>
  <si>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</si>
  <si>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</si>
  <si>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</si>
  <si>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</si>
  <si>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</si>
  <si>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</si>
  <si>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</si>
  <si>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</si>
  <si>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</si>
  <si>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</si>
  <si>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</si>
  <si>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</si>
  <si>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</si>
  <si>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</si>
  <si>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</si>
  <si>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</si>
  <si>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</si>
  <si>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</si>
  <si>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</si>
  <si>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</si>
  <si>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</si>
  <si>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</si>
  <si>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</si>
  <si>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</si>
  <si>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</si>
  <si>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</si>
  <si>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</si>
  <si>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</si>
  <si>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</si>
  <si>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</si>
  <si>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</si>
  <si>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</si>
  <si>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</si>
  <si>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</si>
  <si>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</si>
  <si>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</si>
  <si>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</si>
  <si>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</si>
  <si>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</si>
  <si>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</si>
  <si>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</si>
  <si>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</si>
  <si>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</si>
  <si>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</si>
  <si>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</si>
  <si>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</si>
  <si>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</si>
  <si>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</si>
  <si>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</si>
  <si>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</si>
  <si>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</si>
  <si>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</si>
  <si>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</si>
  <si>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</si>
  <si>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</si>
  <si>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</si>
  <si>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</si>
  <si>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</si>
  <si>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</si>
  <si>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</si>
  <si>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</si>
  <si>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</si>
  <si>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</si>
  <si>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</si>
  <si>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</si>
  <si>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</si>
  <si>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</si>
  <si>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</si>
  <si>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</si>
  <si>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</si>
  <si>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</si>
  <si>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</si>
  <si>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</si>
  <si>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</si>
  <si>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</si>
  <si>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</si>
  <si>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</si>
  <si>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</si>
  <si>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</si>
  <si>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</si>
  <si>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</si>
  <si>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</si>
  <si>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</si>
  <si>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</si>
  <si>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</si>
  <si>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</si>
  <si>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</si>
  <si>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</si>
  <si>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</si>
  <si>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</si>
  <si>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</si>
  <si>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</si>
  <si>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</si>
  <si>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</si>
  <si>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</si>
  <si>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</si>
  <si>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</si>
  <si>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</si>
  <si>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</si>
  <si>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</si>
  <si>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</si>
  <si>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</si>
  <si>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</si>
  <si>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</si>
  <si>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</si>
  <si>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</si>
  <si>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</si>
  <si>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</si>
  <si>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</si>
  <si>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</si>
  <si>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</si>
  <si>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</si>
  <si>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</si>
  <si>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</si>
  <si>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</si>
  <si>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</si>
  <si>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</si>
  <si>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</si>
  <si>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</si>
  <si>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</si>
  <si>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</si>
  <si>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</si>
  <si>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</si>
  <si>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</si>
  <si>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</si>
  <si>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</si>
  <si>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</si>
  <si>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</si>
  <si>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</si>
  <si>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</si>
  <si>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</si>
  <si>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</si>
  <si>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</si>
  <si>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</si>
  <si>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</si>
  <si>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</si>
  <si>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</si>
  <si>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</si>
  <si>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</si>
  <si>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</si>
  <si>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</si>
  <si>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</si>
  <si>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</si>
  <si>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</si>
  <si>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</si>
  <si>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</si>
  <si>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</si>
  <si>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</si>
  <si>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</si>
  <si>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</si>
  <si>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</si>
  <si>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</si>
  <si>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</si>
  <si>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</si>
  <si>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</si>
  <si>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</si>
  <si>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</si>
  <si>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</si>
  <si>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</si>
  <si>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</si>
  <si>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</si>
  <si>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</si>
  <si>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</si>
  <si>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</si>
  <si>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</si>
  <si>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</si>
  <si>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</si>
  <si>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</si>
  <si>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</si>
  <si>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</si>
  <si>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</si>
  <si>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</si>
  <si>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</si>
  <si>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</si>
  <si>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</si>
  <si>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</si>
  <si>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</si>
  <si>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</si>
  <si>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</si>
  <si>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</si>
  <si>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</si>
  <si>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</si>
  <si>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</si>
  <si>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</si>
  <si>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</si>
  <si>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</si>
  <si>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</si>
  <si>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</si>
  <si>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</si>
  <si>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</si>
  <si>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</si>
  <si>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</si>
  <si>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</si>
  <si>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</si>
  <si>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</si>
  <si>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</si>
  <si>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</si>
  <si>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</si>
  <si>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</si>
  <si>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</si>
  <si>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</si>
  <si>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</si>
  <si>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</si>
  <si>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</si>
  <si>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</si>
  <si>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</si>
  <si>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</si>
  <si>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</si>
  <si>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</si>
  <si>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</si>
  <si>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</si>
  <si>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</si>
  <si>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</si>
  <si>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</si>
  <si>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</si>
  <si>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</si>
  <si>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</si>
  <si>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</si>
  <si>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</si>
  <si>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</si>
  <si>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</si>
  <si>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</si>
  <si>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</si>
  <si>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</si>
  <si>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</si>
  <si>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</si>
  <si>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</si>
  <si>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</si>
  <si>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</si>
  <si>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</si>
  <si>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</si>
  <si>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</si>
  <si>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</si>
  <si>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</si>
  <si>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</si>
  <si>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</si>
  <si>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</si>
  <si>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</si>
  <si>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</si>
  <si>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</si>
  <si>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</si>
  <si>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</si>
  <si>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</si>
  <si>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</si>
  <si>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</si>
  <si>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</si>
  <si>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</si>
  <si>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</si>
  <si>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</si>
  <si>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</si>
  <si>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</si>
  <si>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</si>
  <si>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</si>
  <si>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</si>
  <si>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</si>
  <si>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</si>
  <si>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</si>
  <si>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</si>
  <si>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</si>
  <si>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</si>
  <si>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</si>
  <si>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</si>
  <si>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</si>
  <si>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</si>
  <si>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</si>
  <si>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</si>
  <si>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</si>
  <si>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</si>
  <si>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</si>
  <si>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</si>
  <si>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</si>
  <si>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</si>
  <si>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</si>
  <si>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</si>
  <si>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</si>
  <si>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</si>
  <si>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</si>
  <si>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</si>
  <si>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</si>
  <si>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</si>
  <si>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</si>
  <si>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</si>
  <si>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</si>
  <si>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</si>
  <si>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</si>
  <si>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</si>
  <si>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</si>
  <si>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</si>
  <si>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</si>
  <si>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</si>
  <si>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</si>
  <si>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</si>
  <si>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</si>
  <si>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</si>
  <si>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</si>
  <si>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</si>
  <si>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</si>
  <si>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</si>
  <si>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</si>
  <si>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</si>
  <si>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</si>
  <si>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</si>
  <si>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</si>
  <si>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</si>
  <si>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</si>
  <si>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</si>
  <si>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</si>
  <si>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</si>
  <si>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</si>
  <si>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</si>
  <si>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</si>
  <si>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</si>
  <si>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</si>
  <si>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</si>
  <si>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</si>
  <si>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</si>
  <si>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</si>
  <si>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</si>
  <si>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</si>
  <si>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</si>
  <si>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</si>
  <si>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</si>
  <si>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</si>
  <si>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</si>
  <si>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</si>
  <si>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</si>
  <si>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</si>
  <si>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</si>
  <si>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</si>
  <si>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</si>
  <si>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</si>
  <si>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</si>
  <si>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</si>
  <si>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</si>
  <si>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</si>
  <si>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</si>
  <si>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</si>
  <si>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</si>
  <si>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</si>
  <si>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</si>
  <si>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</si>
  <si>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</si>
  <si>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</si>
  <si>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</si>
  <si>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</si>
  <si>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</si>
  <si>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</si>
  <si>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</si>
  <si>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</si>
  <si>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</si>
  <si>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</si>
  <si>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</si>
  <si>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</si>
  <si>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</si>
  <si>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</si>
  <si>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</si>
  <si>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</si>
  <si>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</si>
  <si>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</si>
  <si>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</si>
  <si>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</si>
  <si>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</si>
  <si>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</si>
  <si>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</si>
  <si>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</si>
  <si>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</si>
  <si>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</si>
  <si>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</si>
  <si>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</si>
  <si>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</si>
  <si>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</si>
  <si>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</si>
  <si>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</si>
  <si>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</si>
  <si>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</si>
  <si>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</si>
  <si>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</si>
  <si>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</si>
  <si>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</si>
  <si>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</si>
  <si>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</si>
  <si>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</si>
  <si>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</si>
  <si>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</si>
  <si>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</si>
  <si>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</si>
  <si>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</si>
  <si>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</si>
  <si>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</si>
  <si>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</si>
  <si>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</si>
  <si>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</si>
  <si>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</si>
  <si>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</si>
  <si>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</si>
  <si>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</si>
  <si>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</si>
  <si>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</si>
  <si>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</si>
  <si>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</si>
  <si>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</si>
  <si>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</si>
  <si>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</si>
  <si>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</si>
  <si>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</si>
  <si>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</si>
  <si>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</si>
  <si>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</si>
  <si>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</si>
  <si>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</si>
  <si>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</si>
  <si>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</si>
  <si>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</si>
  <si>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</si>
  <si>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</si>
  <si>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</si>
  <si>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</si>
  <si>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</si>
  <si>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</si>
  <si>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</si>
  <si>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</si>
  <si>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</si>
  <si>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</si>
  <si>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</si>
  <si>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</si>
  <si>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</si>
  <si>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</si>
  <si>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</si>
  <si>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</si>
  <si>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</si>
  <si>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</si>
  <si>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</si>
  <si>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</si>
  <si>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</si>
  <si>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</si>
  <si>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</si>
  <si>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</si>
  <si>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</si>
  <si>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</si>
  <si>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</si>
  <si>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</si>
  <si>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</si>
  <si>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</si>
  <si>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</si>
  <si>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</si>
  <si>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</si>
  <si>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</si>
  <si>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</si>
  <si>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</si>
  <si>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</si>
  <si>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</si>
  <si>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</si>
  <si>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</si>
  <si>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</si>
  <si>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</si>
  <si>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</si>
  <si>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</si>
  <si>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</si>
  <si>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</si>
  <si>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</si>
  <si>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</si>
  <si>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</si>
  <si>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</si>
  <si>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</si>
  <si>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</si>
  <si>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</si>
  <si>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</si>
  <si>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</si>
  <si>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</si>
  <si>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</si>
  <si>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</si>
  <si>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</si>
  <si>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</si>
  <si>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</si>
  <si>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</si>
  <si>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</si>
  <si>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</si>
  <si>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</si>
  <si>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</si>
  <si>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</si>
  <si>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</si>
  <si>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</si>
  <si>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</si>
  <si>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</si>
  <si>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</si>
  <si>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</si>
  <si>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</si>
  <si>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</si>
  <si>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</si>
  <si>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</si>
  <si>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</si>
  <si>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</si>
  <si>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</si>
  <si>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</si>
  <si>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</si>
  <si>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</si>
  <si>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</si>
  <si>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</si>
  <si>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</si>
  <si>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</si>
  <si>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</si>
  <si>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</si>
  <si>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</si>
  <si>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</si>
  <si>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</si>
  <si>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</si>
  <si>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</si>
  <si>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</si>
  <si>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</si>
  <si>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</si>
  <si>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</si>
  <si>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</si>
  <si>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</si>
  <si>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</si>
  <si>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</si>
  <si>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</si>
  <si>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</si>
  <si>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</si>
  <si>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</si>
  <si>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</si>
  <si>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</si>
  <si>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</si>
  <si>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</si>
  <si>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</si>
  <si>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</si>
  <si>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</si>
  <si>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</si>
  <si>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</si>
  <si>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</si>
  <si>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</si>
  <si>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</si>
  <si>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</si>
  <si>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</si>
  <si>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</si>
  <si>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</si>
  <si>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</si>
  <si>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</si>
  <si>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</si>
  <si>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</si>
  <si>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</si>
  <si>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</si>
  <si>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</si>
  <si>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</si>
  <si>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</si>
  <si>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</si>
  <si>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</si>
  <si>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</si>
  <si>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</si>
  <si>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</si>
  <si>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</si>
  <si>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</si>
  <si>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</si>
  <si>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</si>
  <si>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</si>
  <si>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</si>
  <si>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</si>
  <si>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</si>
  <si>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</si>
  <si>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</si>
  <si>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</si>
  <si>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</si>
  <si>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</si>
  <si>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</si>
  <si>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</si>
  <si>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</si>
  <si>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</si>
  <si>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</si>
  <si>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</si>
  <si>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</si>
  <si>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</si>
  <si>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</si>
  <si>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</si>
  <si>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</si>
  <si>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</si>
  <si>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</si>
  <si>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</si>
  <si>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</si>
  <si>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</si>
  <si>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</si>
  <si>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</si>
  <si>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</si>
  <si>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</si>
  <si>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</si>
  <si>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</si>
  <si>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</si>
  <si>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</si>
  <si>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</si>
  <si>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</si>
  <si>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</si>
  <si>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</si>
  <si>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</si>
  <si>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</si>
  <si>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</si>
  <si>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</si>
  <si>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</si>
  <si>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</si>
  <si>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</si>
  <si>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</si>
  <si>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</si>
  <si>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</si>
  <si>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</si>
  <si>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</si>
  <si>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</si>
  <si>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</si>
  <si>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</si>
  <si>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</si>
  <si>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</si>
  <si>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</si>
  <si>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</si>
  <si>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</si>
  <si>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</si>
  <si>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</si>
  <si>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</si>
  <si>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</si>
  <si>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</si>
  <si>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</si>
  <si>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</si>
  <si>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</si>
  <si>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</si>
  <si>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</si>
  <si>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</si>
  <si>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</si>
  <si>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</si>
  <si>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</si>
  <si>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</si>
  <si>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</si>
  <si>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Taiwan Semiconductor Co., Ltd</t>
  </si>
  <si>
    <t xml:space="preserve">11F, NO. 205, Sec. 3, Beishin RD. , Shindian City 231,Taipei County, Taiwan ,R.O.C. </t>
  </si>
  <si>
    <t>Smile Chung</t>
  </si>
  <si>
    <t>smile.chung@ts.com.tw</t>
  </si>
  <si>
    <t>+886-2-8913-1588</t>
  </si>
  <si>
    <t>100%</t>
  </si>
  <si>
    <t>https://www.taiwansemi.com/en/wp-content/uploads/2023/12/Conflict%20Minerals%20Policy_20240124_Web.pdf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</si>
</sst>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27">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一般" xfId="0" builtinId="0"/>
    <cellStyle name="一般 7" xfId="592" xr:uid="{00000000-0005-0000-0000-0000C5020000}"/>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xr:uid="{00000000-0005-0000-0000-0000C6020000}"/>
    <cellStyle name="標準 2 2" xfId="594" xr:uid="{00000000-0005-0000-0000-0000C7020000}"/>
    <cellStyle name="標準 2 3" xfId="595" xr:uid="{00000000-0005-0000-0000-0000C8020000}"/>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xr:uid="{00000000-0005-0000-0000-0000C4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85" zoomScaleNormal="85" workbookViewId="0">
      <pane xSplit="1" ySplit="11" topLeftCell="B21" activePane="bottomRight" state="frozen"/>
      <selection pane="topRight" activeCell="B24" sqref="B24:J24"/>
      <selection pane="bottomLeft" activeCell="B24" sqref="B24:J24"/>
      <selection pane="bottomRight" activeCell="E21" sqref="E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12216</v>
      </c>
      <c r="F13" s="225" t="s">
        <v>12225</v>
      </c>
      <c r="G13" s="24"/>
    </row>
    <row r="14" spans="1:7" ht="57.5">
      <c r="A14" s="388"/>
      <c r="B14" s="222">
        <v>1.01</v>
      </c>
      <c r="C14" s="223" t="s">
        <v>12</v>
      </c>
      <c r="D14" s="224">
        <v>44523</v>
      </c>
      <c r="E14" s="223" t="s">
        <v>12217</v>
      </c>
      <c r="F14" s="225" t="s">
        <v>12225</v>
      </c>
      <c r="G14" s="24"/>
    </row>
    <row r="15" spans="1:7" ht="57.5">
      <c r="A15" s="388"/>
      <c r="B15" s="222">
        <v>1.02</v>
      </c>
      <c r="C15" s="223" t="s">
        <v>12</v>
      </c>
      <c r="D15" s="224">
        <v>44553</v>
      </c>
      <c r="E15" s="223" t="s">
        <v>12218</v>
      </c>
      <c r="F15" s="225" t="s">
        <v>12225</v>
      </c>
      <c r="G15" s="24"/>
    </row>
    <row r="16" spans="1:7" ht="92">
      <c r="A16" s="388"/>
      <c r="B16" s="222">
        <v>1.1000000000000001</v>
      </c>
      <c r="C16" s="223" t="s">
        <v>12</v>
      </c>
      <c r="D16" s="224">
        <v>44848</v>
      </c>
      <c r="E16" s="223" t="s">
        <v>12219</v>
      </c>
      <c r="F16" s="225" t="s">
        <v>12226</v>
      </c>
      <c r="G16" s="24"/>
    </row>
    <row r="17" spans="1:7" ht="57.5">
      <c r="A17" s="388"/>
      <c r="B17" s="222">
        <v>1.1100000000000001</v>
      </c>
      <c r="C17" s="223" t="s">
        <v>12</v>
      </c>
      <c r="D17" s="224">
        <v>44869</v>
      </c>
      <c r="E17" s="223" t="s">
        <v>12220</v>
      </c>
      <c r="F17" s="225" t="s">
        <v>12226</v>
      </c>
      <c r="G17" s="24"/>
    </row>
    <row r="18" spans="1:7" ht="57.5">
      <c r="A18" s="388"/>
      <c r="B18" s="222">
        <v>1.2</v>
      </c>
      <c r="C18" s="223" t="s">
        <v>12</v>
      </c>
      <c r="D18" s="224">
        <v>45058</v>
      </c>
      <c r="E18" s="223" t="s">
        <v>12269</v>
      </c>
      <c r="F18" s="225" t="s">
        <v>12227</v>
      </c>
      <c r="G18" s="24"/>
    </row>
    <row r="19" spans="1:7" ht="57.5">
      <c r="A19" s="388"/>
      <c r="B19" s="222">
        <v>1.3</v>
      </c>
      <c r="C19" s="223" t="s">
        <v>12</v>
      </c>
      <c r="D19" s="224">
        <v>45408</v>
      </c>
      <c r="E19" s="286" t="s">
        <v>20008</v>
      </c>
      <c r="F19" s="225" t="s">
        <v>12270</v>
      </c>
      <c r="G19" s="24"/>
    </row>
    <row r="20" spans="1:7" ht="57.5">
      <c r="A20" s="388"/>
      <c r="B20" s="291" t="s">
        <v>18642</v>
      </c>
      <c r="C20" s="223" t="s">
        <v>12</v>
      </c>
      <c r="D20" s="224">
        <v>45772</v>
      </c>
      <c r="E20" s="286" t="s">
        <v>19186</v>
      </c>
      <c r="F20" s="225" t="s">
        <v>19309</v>
      </c>
      <c r="G20" s="24"/>
    </row>
    <row r="21" spans="1:7" ht="80.5">
      <c r="A21" s="388"/>
      <c r="B21" s="291" t="s">
        <v>20112</v>
      </c>
      <c r="C21" s="223" t="s">
        <v>12</v>
      </c>
      <c r="D21" s="384">
        <v>45947</v>
      </c>
      <c r="E21" s="385" t="s">
        <v>20116</v>
      </c>
      <c r="F21" s="225" t="s">
        <v>20111</v>
      </c>
      <c r="G21" s="24"/>
    </row>
    <row r="22" spans="1:7" ht="14" thickBot="1">
      <c r="A22" s="389"/>
      <c r="B22" s="393" t="str">
        <f ca="1">OFFSET(L!$C$1,MATCH("General"&amp;"Cpy",L!$A:$A,0)-1,SL,,)</f>
        <v>© 2025 Responsible Minerals Initiative. All rights reserved.</v>
      </c>
      <c r="C22" s="393"/>
      <c r="D22" s="393"/>
      <c r="E22" s="393"/>
      <c r="F22" s="393"/>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29">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27">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08">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81">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9.5">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54">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08">
      <c r="A38" s="125" t="str">
        <f t="shared" si="0"/>
        <v>InstructionsA40</v>
      </c>
      <c r="B38" s="125" t="s">
        <v>357</v>
      </c>
      <c r="C38" s="125" t="s">
        <v>474</v>
      </c>
      <c r="D38" s="125" t="s">
        <v>19298</v>
      </c>
      <c r="E38" s="378" t="s">
        <v>19555</v>
      </c>
      <c r="F38" s="270" t="s">
        <v>19919</v>
      </c>
      <c r="G38" s="125" t="s">
        <v>19558</v>
      </c>
      <c r="H38" s="274" t="s">
        <v>19560</v>
      </c>
      <c r="I38" s="125" t="s">
        <v>19562</v>
      </c>
    </row>
    <row r="39" spans="1:9" ht="175.5">
      <c r="A39" s="125" t="str">
        <f t="shared" si="0"/>
        <v>InstructionsA41</v>
      </c>
      <c r="B39" s="125" t="s">
        <v>357</v>
      </c>
      <c r="C39" s="125" t="s">
        <v>480</v>
      </c>
      <c r="D39" s="125" t="s">
        <v>475</v>
      </c>
      <c r="E39" s="245" t="s">
        <v>476</v>
      </c>
      <c r="F39" s="271" t="s">
        <v>477</v>
      </c>
      <c r="G39" s="244" t="s">
        <v>478</v>
      </c>
      <c r="H39" s="274" t="s">
        <v>479</v>
      </c>
      <c r="I39" s="125" t="s">
        <v>18491</v>
      </c>
    </row>
    <row r="40" spans="1:9" ht="216">
      <c r="A40" s="125" t="str">
        <f>B40&amp;C40</f>
        <v>InstructionsA42</v>
      </c>
      <c r="B40" s="125" t="s">
        <v>357</v>
      </c>
      <c r="C40" s="125" t="s">
        <v>486</v>
      </c>
      <c r="D40" s="125" t="s">
        <v>481</v>
      </c>
      <c r="E40" s="245" t="s">
        <v>482</v>
      </c>
      <c r="F40" s="271" t="s">
        <v>483</v>
      </c>
      <c r="G40" s="247" t="s">
        <v>484</v>
      </c>
      <c r="H40" s="278" t="s">
        <v>485</v>
      </c>
      <c r="I40" s="125" t="s">
        <v>18492</v>
      </c>
    </row>
    <row r="41" spans="1:9" ht="216">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3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297">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75.5">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4.5">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28">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02.5">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21.5">
      <c r="A73" s="125" t="str">
        <f t="shared" si="5"/>
        <v>InstructionsA77</v>
      </c>
      <c r="B73" s="125" t="s">
        <v>357</v>
      </c>
      <c r="C73" s="125" t="s">
        <v>19505</v>
      </c>
      <c r="D73" s="125" t="s">
        <v>19489</v>
      </c>
      <c r="E73" s="238" t="s">
        <v>19490</v>
      </c>
      <c r="F73" s="239" t="s">
        <v>19491</v>
      </c>
      <c r="G73" s="125" t="s">
        <v>19492</v>
      </c>
      <c r="H73" s="274" t="s">
        <v>19493</v>
      </c>
      <c r="I73" s="125" t="s">
        <v>19494</v>
      </c>
    </row>
    <row r="74" spans="1:9" ht="40.5">
      <c r="A74" s="125" t="str">
        <f t="shared" si="5"/>
        <v>InstructionsA78</v>
      </c>
      <c r="B74" s="125" t="s">
        <v>357</v>
      </c>
      <c r="C74" s="125" t="s">
        <v>19506</v>
      </c>
      <c r="D74" s="125" t="s">
        <v>19495</v>
      </c>
      <c r="E74" s="238" t="s">
        <v>19496</v>
      </c>
      <c r="F74" s="239" t="s">
        <v>19497</v>
      </c>
      <c r="G74" s="125" t="s">
        <v>19498</v>
      </c>
      <c r="H74" s="274" t="s">
        <v>19499</v>
      </c>
      <c r="I74" s="125" t="s">
        <v>19500</v>
      </c>
    </row>
    <row r="75" spans="1:9" ht="175.5">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70">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35">
      <c r="A79" s="125" t="str">
        <f t="shared" si="0"/>
        <v>InstructionsA85</v>
      </c>
      <c r="B79" s="125" t="s">
        <v>357</v>
      </c>
      <c r="C79" s="125" t="s">
        <v>19511</v>
      </c>
      <c r="D79" s="125" t="s">
        <v>622</v>
      </c>
      <c r="E79" s="238" t="s">
        <v>623</v>
      </c>
      <c r="F79" s="239" t="s">
        <v>624</v>
      </c>
      <c r="G79" s="249" t="s">
        <v>625</v>
      </c>
      <c r="H79" s="274" t="s">
        <v>626</v>
      </c>
      <c r="I79" s="125" t="s">
        <v>18515</v>
      </c>
    </row>
    <row r="80" spans="1:9" ht="283.5">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1.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2.5">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08">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5.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21.5">
      <c r="A134" s="125" t="str">
        <f t="shared" si="7"/>
        <v>DefinitionsC26</v>
      </c>
      <c r="B134" s="125" t="s">
        <v>645</v>
      </c>
      <c r="C134" s="125" t="s">
        <v>19406</v>
      </c>
      <c r="D134" s="244" t="s">
        <v>848</v>
      </c>
      <c r="E134" s="245" t="s">
        <v>849</v>
      </c>
      <c r="F134" s="252" t="s">
        <v>850</v>
      </c>
      <c r="G134" s="253" t="s">
        <v>851</v>
      </c>
      <c r="H134" s="274" t="s">
        <v>852</v>
      </c>
      <c r="I134" s="125" t="s">
        <v>18552</v>
      </c>
    </row>
    <row r="135" spans="1:9" ht="81">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0.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0.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40.5">
      <c r="A175" s="125" t="str">
        <f t="shared" si="11"/>
        <v>Declaration</v>
      </c>
      <c r="B175" s="125" t="s">
        <v>859</v>
      </c>
      <c r="D175" s="125" t="s">
        <v>1014</v>
      </c>
      <c r="E175" s="238" t="s">
        <v>1015</v>
      </c>
      <c r="F175" s="258" t="s">
        <v>1016</v>
      </c>
      <c r="G175" s="125" t="s">
        <v>1017</v>
      </c>
      <c r="H175" s="274" t="s">
        <v>1018</v>
      </c>
      <c r="I175" s="125"/>
    </row>
    <row r="176" spans="1:9" ht="54">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0.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4.5">
      <c r="A266" s="125" t="str">
        <f t="shared" si="12"/>
        <v>CheckerJ45</v>
      </c>
      <c r="B266" s="125" t="s">
        <v>1191</v>
      </c>
      <c r="C266" s="125" t="s">
        <v>18994</v>
      </c>
      <c r="D266" s="244"/>
      <c r="E266" s="245"/>
      <c r="F266" s="251"/>
      <c r="G266" s="249"/>
      <c r="H266" s="274"/>
      <c r="I266" s="125"/>
    </row>
    <row r="267" spans="1:9" ht="14.5">
      <c r="A267" s="125" t="str">
        <f t="shared" si="12"/>
        <v>CheckerJ46</v>
      </c>
      <c r="B267" s="125" t="s">
        <v>1191</v>
      </c>
      <c r="C267" s="125" t="s">
        <v>18995</v>
      </c>
      <c r="D267" s="244"/>
      <c r="E267" s="245"/>
      <c r="F267" s="251"/>
      <c r="G267" s="249"/>
      <c r="H267" s="274"/>
      <c r="I267" s="125"/>
    </row>
    <row r="268" spans="1:9" ht="14.5">
      <c r="A268" s="125" t="str">
        <f t="shared" si="12"/>
        <v>CheckerJ47</v>
      </c>
      <c r="B268" s="125" t="s">
        <v>1191</v>
      </c>
      <c r="C268" s="125" t="s">
        <v>18996</v>
      </c>
      <c r="D268" s="244"/>
      <c r="E268" s="245"/>
      <c r="F268" s="251"/>
      <c r="G268" s="249"/>
      <c r="H268" s="274"/>
      <c r="I268" s="125"/>
    </row>
    <row r="269" spans="1:9" ht="14.5">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4.5">
      <c r="A276" s="125" t="str">
        <f t="shared" si="12"/>
        <v>CheckerJ56</v>
      </c>
      <c r="B276" s="125" t="s">
        <v>1191</v>
      </c>
      <c r="C276" s="125" t="s">
        <v>19004</v>
      </c>
      <c r="D276" s="244"/>
      <c r="E276" s="245"/>
      <c r="F276" s="251"/>
      <c r="G276" s="249"/>
      <c r="H276" s="274"/>
      <c r="I276" s="125"/>
    </row>
    <row r="277" spans="1:9" ht="14.5">
      <c r="A277" s="125" t="str">
        <f t="shared" si="12"/>
        <v>CheckerJ57</v>
      </c>
      <c r="B277" s="125" t="s">
        <v>1191</v>
      </c>
      <c r="C277" s="125" t="s">
        <v>19005</v>
      </c>
      <c r="D277" s="244"/>
      <c r="E277" s="245"/>
      <c r="F277" s="251"/>
      <c r="G277" s="249"/>
      <c r="H277" s="274"/>
      <c r="I277" s="125"/>
    </row>
    <row r="278" spans="1:9" ht="14.5">
      <c r="A278" s="125" t="str">
        <f t="shared" si="12"/>
        <v>CheckerJ58</v>
      </c>
      <c r="B278" s="125" t="s">
        <v>1191</v>
      </c>
      <c r="C278" s="125" t="s">
        <v>19006</v>
      </c>
      <c r="D278" s="244"/>
      <c r="E278" s="245"/>
      <c r="F278" s="251"/>
      <c r="G278" s="249"/>
      <c r="H278" s="274"/>
      <c r="I278" s="125"/>
    </row>
    <row r="279" spans="1:9" ht="14.5">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4.5">
      <c r="A286" s="125" t="str">
        <f t="shared" si="13"/>
        <v>CheckerJ67</v>
      </c>
      <c r="B286" s="125" t="s">
        <v>1191</v>
      </c>
      <c r="C286" s="125" t="s">
        <v>19014</v>
      </c>
      <c r="G286" s="309"/>
      <c r="H286" s="274"/>
      <c r="I286" s="125"/>
    </row>
    <row r="287" spans="1:9" ht="14.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1">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4.5">
      <c r="A319" s="125" t="str">
        <f t="shared" si="13"/>
        <v>CheckerJ104</v>
      </c>
      <c r="B319" s="125" t="s">
        <v>1191</v>
      </c>
      <c r="C319" s="125" t="s">
        <v>19054</v>
      </c>
      <c r="D319" s="244"/>
      <c r="E319" s="245"/>
      <c r="F319" s="251"/>
      <c r="G319" s="308"/>
      <c r="H319" s="274"/>
      <c r="I319" s="125"/>
    </row>
    <row r="320" spans="1:9" ht="14.5">
      <c r="A320" s="125" t="str">
        <f t="shared" si="13"/>
        <v>CheckerJ105</v>
      </c>
      <c r="B320" s="125" t="s">
        <v>1191</v>
      </c>
      <c r="C320" s="125" t="s">
        <v>19055</v>
      </c>
      <c r="D320" s="244"/>
      <c r="E320" s="245"/>
      <c r="F320" s="251"/>
      <c r="G320" s="308"/>
      <c r="H320" s="274"/>
      <c r="I320" s="125"/>
    </row>
    <row r="321" spans="1:9" ht="14.5">
      <c r="A321" s="125" t="str">
        <f t="shared" si="13"/>
        <v>CheckerJ106</v>
      </c>
      <c r="B321" s="125" t="s">
        <v>1191</v>
      </c>
      <c r="C321" s="125" t="s">
        <v>19056</v>
      </c>
      <c r="D321" s="244"/>
      <c r="E321" s="245"/>
      <c r="F321" s="251"/>
      <c r="G321" s="308"/>
      <c r="H321" s="274"/>
      <c r="I321" s="125"/>
    </row>
    <row r="322" spans="1:9" ht="14.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28">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48.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3C877D7E-125A-4817-84B6-E6D75640C291}"/>
    </customSheetView>
    <customSheetView guid="{4BDF1A28-30D5-449D-B20E-D6C97EF9FAE1}" showAutoFilter="1">
      <selection activeCell="C174" sqref="C174"/>
      <pageMargins left="0" right="0" top="0" bottom="0" header="0" footer="0"/>
      <pageSetup paperSize="9" orientation="portrait"/>
      <autoFilter ref="B1:N1" xr:uid="{C35FB792-E3F9-407F-9209-0803FFDE114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25F6E2A-FEAC-4BBB-8DA3-8818237EDE53}"/>
    </customSheetView>
    <customSheetView guid="{4BDF1A28-30D5-449D-B20E-D6C97EF9FAE1}" showAutoFilter="1">
      <selection activeCell="C1" sqref="C1:D65536"/>
      <pageMargins left="0" right="0" top="0" bottom="0" header="0" footer="0"/>
      <pageSetup orientation="portrait"/>
      <autoFilter ref="B1:C1" xr:uid="{86648A12-D8AF-4403-875A-C2DB05A045F5}"/>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50">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45">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15">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60">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35">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4" thickBot="1">
      <c r="A30" s="179"/>
      <c r="B30" s="180"/>
      <c r="C30" s="180"/>
      <c r="D30" s="399"/>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55" zoomScaleNormal="55" workbookViewId="0">
      <selection activeCell="G137" sqref="G137:J137"/>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7">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7">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25" t="s">
        <v>20162</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25" t="s">
        <v>20163</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7">
      <c r="A20" s="31"/>
      <c r="B20" s="33" t="str">
        <f ca="1">OFFSET(L!$C$1,MATCH("Declaration"&amp;ADDRESS(ROW(),COLUMN(),4),L!$A:$A,0)-1,SL,,)</f>
        <v>Email – Contact (*):</v>
      </c>
      <c r="C20" s="66"/>
      <c r="D20" s="433" t="s">
        <v>20164</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25" t="s">
        <v>20165</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25" t="s">
        <v>20163</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25"/>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33" t="s">
        <v>20164</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25"/>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6">
        <v>45950</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3">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3">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3">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4" t="s">
        <v>20166</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04" t="s">
        <v>20166</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20167</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55" zoomScaleNormal="55" workbookViewId="0">
      <pane ySplit="3" topLeftCell="A5" activePane="bottomLeft" state="frozen"/>
      <selection activeCell="B24" sqref="B24:J24"/>
      <selection pane="bottomLeft" activeCell="A5" sqref="A5"/>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
      <c r="A5" s="196" t="s">
        <v>18814</v>
      </c>
      <c r="B5" s="302" t="str">
        <f ca="1">IF(LEN(A5)=0,"",INDEX('Smelter Look-up'!$A:$A,MATCH($A5,'Smelter Look-up'!$E:$E,0)))</f>
        <v>Copper</v>
      </c>
      <c r="C5" s="151" t="str">
        <f ca="1">IF(LEN(A5)=0,"",INDEX('Smelter Look-up'!$C:$C,MATCH($A5,'Smelter Look-up'!$E:$E,0)))</f>
        <v>Tenke Fungurume Mining SA</v>
      </c>
      <c r="D5" s="148"/>
      <c r="E5" s="148" t="str">
        <f ca="1">IF(ISERROR($V5),"",OFFSET('Smelter Look-up'!$D$4,$V5-4,0)&amp;"")</f>
        <v>CONGO, DEMOCRATIC REPUBLIC OF THE</v>
      </c>
      <c r="F5" s="148" t="str">
        <f ca="1">IF(ISERROR($V5),"",OFFSET('Smelter Look-up'!$E$4,$V5-4,0))</f>
        <v>CID003795</v>
      </c>
      <c r="G5" s="148" t="str">
        <f ca="1">IF(C5=$X$4,"Enter smelter details",IF(ISERROR($V5),"",OFFSET('Smelter Look-up'!$F$4,$V5-4,0)))</f>
        <v>RMI</v>
      </c>
      <c r="H5" s="204">
        <f ca="1">IF(ISERROR($V5),"",OFFSET('Smelter Look-up'!$G$4,$V5-4,0))</f>
        <v>0</v>
      </c>
      <c r="I5" s="205" t="str">
        <f ca="1">IF(ISERROR($V5),"",OFFSET('Smelter Look-up'!$H$4,$V5-4,0))</f>
        <v>Tenke and Fungurume Town</v>
      </c>
      <c r="J5" s="205" t="str">
        <f ca="1">IF(ISERROR($V5),"",OFFSET('Smelter Look-up'!$I$4,$V5-4,0))</f>
        <v>Lualaba</v>
      </c>
      <c r="K5" s="149"/>
      <c r="L5" s="149"/>
      <c r="M5" s="149"/>
      <c r="N5" s="149"/>
      <c r="O5" s="149"/>
      <c r="P5" s="207"/>
      <c r="Q5" s="150"/>
      <c r="R5" s="148" t="str">
        <f ca="1">IF(ISERROR($V5),"",OFFSET('Smelter Look-up'!$C$4,$V5-4,0)&amp;"")</f>
        <v>Tenke Fungurume Mining SA</v>
      </c>
      <c r="S5" s="154" t="str">
        <f t="shared" ref="S5:S12" ca="1" si="0">IF(B5="","",IF(ISERROR(MATCH($E5,CL,0)),"Unknown",INDIRECT("'C'!$A$"&amp;MATCH($E5,CL,0)+1)))</f>
        <v>CD</v>
      </c>
      <c r="T5" s="154" t="str">
        <f ca="1">IF(B5="","",IF(ISERROR(MATCH($J5,SorP!$B$1:$B$6226,0)),"",INDIRECT("'SorP'!$A$"&amp;MATCH($S5&amp;$J5,SorP!C:C,0))))</f>
        <v>CD-LU</v>
      </c>
      <c r="U5" s="167"/>
      <c r="V5" s="168">
        <f ca="1">IF(C5="",NA(),MATCH($B5&amp;$C5,'Smelter Look-up'!$J:$J,0))</f>
        <v>297</v>
      </c>
      <c r="X5" s="169">
        <f t="shared" ref="X5:X12" ca="1" si="1">IF(AND(C5="Smelter not listed",OR(LEN(D5)=0,LEN(E5)=0)),1,0)</f>
        <v>0</v>
      </c>
      <c r="AB5" s="312" t="str">
        <f t="shared" ref="AB5:AB12" ca="1" si="2">IF(C5="","",B5)</f>
        <v>Copper</v>
      </c>
      <c r="AC5" s="169" t="str">
        <f ca="1">B5</f>
        <v>Copper</v>
      </c>
      <c r="AD5" s="169" t="str">
        <f ca="1">IF(C5="Smelter not listed",D5,C5)</f>
        <v>Tenke Fungurume Mining SA</v>
      </c>
    </row>
    <row r="6" spans="1:34" s="169" customFormat="1" ht="20">
      <c r="A6" s="196" t="s">
        <v>18817</v>
      </c>
      <c r="B6" s="302" t="str">
        <f ca="1">IF(LEN(A6)=0,"",INDEX('Smelter Look-up'!$A:$A,MATCH($A6,'Smelter Look-up'!$E:$E,0)))</f>
        <v>Copper</v>
      </c>
      <c r="C6" s="151" t="str">
        <f ca="1">IF(LEN(A6)=0,"",INDEX('Smelter Look-up'!$C:$C,MATCH($A6,'Smelter Look-up'!$E:$E,0)))</f>
        <v>Toyo Smelter &amp; Refinery, Sumitomo Metal Mining</v>
      </c>
      <c r="D6" s="148"/>
      <c r="E6" s="148" t="str">
        <f ca="1">IF(ISERROR($V6),"",OFFSET('Smelter Look-up'!$D$4,$V6-4,0)&amp;"")</f>
        <v>JAPAN</v>
      </c>
      <c r="F6" s="148" t="str">
        <f ca="1">IF(ISERROR($V6),"",OFFSET('Smelter Look-up'!$E$4,$V6-4,0))</f>
        <v>CID003878</v>
      </c>
      <c r="G6" s="148" t="str">
        <f ca="1">IF(C6=$X$4,"Enter smelter details",IF(ISERROR($V6),"",OFFSET('Smelter Look-up'!$F$4,$V6-4,0)))</f>
        <v>RMI</v>
      </c>
      <c r="H6" s="204">
        <f ca="1">IF(ISERROR($V6),"",OFFSET('Smelter Look-up'!$G$4,$V6-4,0))</f>
        <v>0</v>
      </c>
      <c r="I6" s="205" t="str">
        <f ca="1">IF(ISERROR($V6),"",OFFSET('Smelter Look-up'!$H$4,$V6-4,0))</f>
        <v>Saijyo</v>
      </c>
      <c r="J6" s="205" t="str">
        <f ca="1">IF(ISERROR($V6),"",OFFSET('Smelter Look-up'!$I$4,$V6-4,0))</f>
        <v>Ehime</v>
      </c>
      <c r="K6" s="149"/>
      <c r="L6" s="149"/>
      <c r="M6" s="149"/>
      <c r="N6" s="149"/>
      <c r="O6" s="149"/>
      <c r="P6" s="207"/>
      <c r="Q6" s="150"/>
      <c r="R6" s="148" t="str">
        <f ca="1">IF(ISERROR($V6),"",OFFSET('Smelter Look-up'!$C$4,$V6-4,0)&amp;"")</f>
        <v>Toyo Smelter &amp; Refinery, Sumitomo Metal Mining</v>
      </c>
      <c r="S6" s="154" t="str">
        <f t="shared" ca="1" si="0"/>
        <v>JP</v>
      </c>
      <c r="T6" s="154" t="str">
        <f ca="1">IF(B6="","",IF(ISERROR(MATCH($J6,SorP!$B$1:$B$6226,0)),"",INDIRECT("'SorP'!$A$"&amp;MATCH($S6&amp;$J6,SorP!C:C,0))))</f>
        <v>JP-38</v>
      </c>
      <c r="U6" s="167"/>
      <c r="V6" s="168">
        <f ca="1">IF(C6="",NA(),MATCH($B6&amp;$C6,'Smelter Look-up'!$J:$J,0))</f>
        <v>301</v>
      </c>
      <c r="X6" s="169">
        <f t="shared" ca="1" si="1"/>
        <v>0</v>
      </c>
      <c r="AB6" s="312" t="str">
        <f t="shared" ca="1" si="2"/>
        <v>Copper</v>
      </c>
      <c r="AC6" s="169" t="str">
        <f t="shared" ref="AC6:AC69" ca="1" si="3">B6</f>
        <v>Copper</v>
      </c>
      <c r="AD6" s="169" t="str">
        <f t="shared" ref="AD6:AD69" ca="1" si="4">IF(C6="Smelter not listed",D6,C6)</f>
        <v>Toyo Smelter &amp; Refinery, Sumitomo Metal Mining</v>
      </c>
    </row>
    <row r="7" spans="1:34" s="169" customFormat="1" ht="20">
      <c r="A7" s="196" t="s">
        <v>18917</v>
      </c>
      <c r="B7" s="302" t="str">
        <f ca="1">IF(LEN(A7)=0,"",INDEX('Smelter Look-up'!$A:$A,MATCH($A7,'Smelter Look-up'!$E:$E,0)))</f>
        <v>Nickel</v>
      </c>
      <c r="C7" s="151" t="str">
        <f ca="1">IF(LEN(A7)=0,"",INDEX('Smelter Look-up'!$C:$C,MATCH($A7,'Smelter Look-up'!$E:$E,0)))</f>
        <v>Dynatec Madagascar Company</v>
      </c>
      <c r="D7" s="148"/>
      <c r="E7" s="148" t="str">
        <f ca="1">IF(ISERROR($V7),"",OFFSET('Smelter Look-up'!$D$4,$V7-4,0)&amp;"")</f>
        <v>MADAGASCAR</v>
      </c>
      <c r="F7" s="148" t="str">
        <f ca="1">IF(ISERROR($V7),"",OFFSET('Smelter Look-up'!$E$4,$V7-4,0))</f>
        <v>CID003968</v>
      </c>
      <c r="G7" s="148" t="str">
        <f ca="1">IF(C7=$X$4,"Enter smelter details",IF(ISERROR($V7),"",OFFSET('Smelter Look-up'!$F$4,$V7-4,0)))</f>
        <v>RMI</v>
      </c>
      <c r="H7" s="204">
        <f ca="1">IF(ISERROR($V7),"",OFFSET('Smelter Look-up'!$G$4,$V7-4,0))</f>
        <v>0</v>
      </c>
      <c r="I7" s="205" t="str">
        <f ca="1">IF(ISERROR($V7),"",OFFSET('Smelter Look-up'!$H$4,$V7-4,0))</f>
        <v>Toamasina</v>
      </c>
      <c r="J7" s="205" t="str">
        <f ca="1">IF(ISERROR($V7),"",OFFSET('Smelter Look-up'!$I$4,$V7-4,0))</f>
        <v>Toamasina</v>
      </c>
      <c r="K7" s="149"/>
      <c r="L7" s="149"/>
      <c r="M7" s="149"/>
      <c r="N7" s="149"/>
      <c r="O7" s="149"/>
      <c r="P7" s="207"/>
      <c r="Q7" s="150"/>
      <c r="R7" s="148" t="str">
        <f ca="1">IF(ISERROR($V7),"",OFFSET('Smelter Look-up'!$C$4,$V7-4,0)&amp;"")</f>
        <v>Dynatec Madagascar Company</v>
      </c>
      <c r="S7" s="154" t="str">
        <f t="shared" ca="1" si="0"/>
        <v>MG</v>
      </c>
      <c r="T7" s="154" t="str">
        <f ca="1">IF(B7="","",IF(ISERROR(MATCH($J7,SorP!$B$1:$B$6226,0)),"",INDIRECT("'SorP'!$A$"&amp;MATCH($S7&amp;$J7,SorP!C:C,0))))</f>
        <v>MG-A</v>
      </c>
      <c r="U7" s="167"/>
      <c r="V7" s="168">
        <f ca="1">IF(C7="",NA(),MATCH($B7&amp;$C7,'Smelter Look-up'!$J:$J,0))</f>
        <v>433</v>
      </c>
      <c r="X7" s="169">
        <f t="shared" ca="1" si="1"/>
        <v>0</v>
      </c>
      <c r="AB7" s="312" t="str">
        <f t="shared" ca="1" si="2"/>
        <v>Nickel</v>
      </c>
      <c r="AC7" s="169" t="str">
        <f t="shared" ca="1" si="3"/>
        <v>Nickel</v>
      </c>
      <c r="AD7" s="169" t="str">
        <f t="shared" ca="1" si="4"/>
        <v>Dynatec Madagascar Company</v>
      </c>
    </row>
    <row r="8" spans="1:34" s="169" customFormat="1" ht="20">
      <c r="A8" s="196" t="s">
        <v>18940</v>
      </c>
      <c r="B8" s="302" t="str">
        <f ca="1">IF(LEN(A8)=0,"",INDEX('Smelter Look-up'!$A:$A,MATCH($A8,'Smelter Look-up'!$E:$E,0)))</f>
        <v>Nickel</v>
      </c>
      <c r="C8" s="151" t="str">
        <f ca="1">IF(LEN(A8)=0,"",INDEX('Smelter Look-up'!$C:$C,MATCH($A8,'Smelter Look-up'!$E:$E,0)))</f>
        <v>Murrin Murrin Nickel Cobalt Plant</v>
      </c>
      <c r="D8" s="148"/>
      <c r="E8" s="148" t="str">
        <f ca="1">IF(ISERROR($V8),"",OFFSET('Smelter Look-up'!$D$4,$V8-4,0)&amp;"")</f>
        <v>AUSTRALIA</v>
      </c>
      <c r="F8" s="148" t="str">
        <f ca="1">IF(ISERROR($V8),"",OFFSET('Smelter Look-up'!$E$4,$V8-4,0))</f>
        <v>CID003928</v>
      </c>
      <c r="G8" s="148" t="str">
        <f ca="1">IF(C8=$X$4,"Enter smelter details",IF(ISERROR($V8),"",OFFSET('Smelter Look-up'!$F$4,$V8-4,0)))</f>
        <v>RMI</v>
      </c>
      <c r="H8" s="204">
        <f ca="1">IF(ISERROR($V8),"",OFFSET('Smelter Look-up'!$G$4,$V8-4,0))</f>
        <v>0</v>
      </c>
      <c r="I8" s="205" t="str">
        <f ca="1">IF(ISERROR($V8),"",OFFSET('Smelter Look-up'!$H$4,$V8-4,0))</f>
        <v>Perth</v>
      </c>
      <c r="J8" s="205" t="str">
        <f ca="1">IF(ISERROR($V8),"",OFFSET('Smelter Look-up'!$I$4,$V8-4,0))</f>
        <v>Western Australia</v>
      </c>
      <c r="K8" s="149"/>
      <c r="L8" s="149"/>
      <c r="M8" s="149"/>
      <c r="N8" s="149"/>
      <c r="O8" s="149"/>
      <c r="P8" s="207"/>
      <c r="Q8" s="150"/>
      <c r="R8" s="148" t="str">
        <f ca="1">IF(ISERROR($V8),"",OFFSET('Smelter Look-up'!$C$4,$V8-4,0)&amp;"")</f>
        <v>Murrin Murrin Nickel Cobalt Plant</v>
      </c>
      <c r="S8" s="154" t="str">
        <f t="shared" ca="1" si="0"/>
        <v>AU</v>
      </c>
      <c r="T8" s="154" t="str">
        <f ca="1">IF(B8="","",IF(ISERROR(MATCH($J8,SorP!$B$1:$B$6226,0)),"",INDIRECT("'SorP'!$A$"&amp;MATCH($S8&amp;$J8,SorP!C:C,0))))</f>
        <v>AU-WA</v>
      </c>
      <c r="U8" s="167"/>
      <c r="V8" s="168">
        <f ca="1">IF(C8="",NA(),MATCH($B8&amp;$C8,'Smelter Look-up'!$J:$J,0))</f>
        <v>467</v>
      </c>
      <c r="X8" s="169">
        <f t="shared" ca="1" si="1"/>
        <v>0</v>
      </c>
      <c r="AB8" s="312" t="str">
        <f t="shared" ca="1" si="2"/>
        <v>Nickel</v>
      </c>
      <c r="AC8" s="169" t="str">
        <f t="shared" ca="1" si="3"/>
        <v>Nickel</v>
      </c>
      <c r="AD8" s="169" t="str">
        <f t="shared" ca="1" si="4"/>
        <v>Murrin Murrin Nickel Cobalt Plant</v>
      </c>
    </row>
    <row r="9" spans="1:34" s="169" customFormat="1" ht="20">
      <c r="A9" s="196" t="s">
        <v>18944</v>
      </c>
      <c r="B9" s="302" t="str">
        <f ca="1">IF(LEN(A9)=0,"",INDEX('Smelter Look-up'!$A:$A,MATCH($A9,'Smelter Look-up'!$E:$E,0)))</f>
        <v>Nickel</v>
      </c>
      <c r="C9" s="151" t="str">
        <f ca="1">IF(LEN(A9)=0,"",INDEX('Smelter Look-up'!$C:$C,MATCH($A9,'Smelter Look-up'!$E:$E,0)))</f>
        <v>NORILSK NICKEL HARJAVALTA OY</v>
      </c>
      <c r="D9" s="148"/>
      <c r="E9" s="148" t="str">
        <f ca="1">IF(ISERROR($V9),"",OFFSET('Smelter Look-up'!$D$4,$V9-4,0)&amp;"")</f>
        <v>FINLAND</v>
      </c>
      <c r="F9" s="148" t="str">
        <f ca="1">IF(ISERROR($V9),"",OFFSET('Smelter Look-up'!$E$4,$V9-4,0))</f>
        <v>CID004008</v>
      </c>
      <c r="G9" s="148" t="str">
        <f ca="1">IF(C9=$X$4,"Enter smelter details",IF(ISERROR($V9),"",OFFSET('Smelter Look-up'!$F$4,$V9-4,0)))</f>
        <v>RMI</v>
      </c>
      <c r="H9" s="204">
        <f ca="1">IF(ISERROR($V9),"",OFFSET('Smelter Look-up'!$G$4,$V9-4,0))</f>
        <v>0</v>
      </c>
      <c r="I9" s="205" t="str">
        <f ca="1">IF(ISERROR($V9),"",OFFSET('Smelter Look-up'!$H$4,$V9-4,0))</f>
        <v>Harjavalta</v>
      </c>
      <c r="J9" s="205" t="str">
        <f ca="1">IF(ISERROR($V9),"",OFFSET('Smelter Look-up'!$I$4,$V9-4,0))</f>
        <v>Satakunta</v>
      </c>
      <c r="K9" s="149"/>
      <c r="L9" s="149"/>
      <c r="M9" s="149"/>
      <c r="N9" s="149"/>
      <c r="O9" s="149"/>
      <c r="P9" s="207"/>
      <c r="Q9" s="150"/>
      <c r="R9" s="148" t="str">
        <f ca="1">IF(ISERROR($V9),"",OFFSET('Smelter Look-up'!$C$4,$V9-4,0)&amp;"")</f>
        <v>NORILSK NICKEL HARJAVALTA OY</v>
      </c>
      <c r="S9" s="154" t="str">
        <f t="shared" ca="1" si="0"/>
        <v>FI</v>
      </c>
      <c r="T9" s="154" t="str">
        <f ca="1">IF(B9="","",IF(ISERROR(MATCH($J9,SorP!$B$1:$B$6226,0)),"",INDIRECT("'SorP'!$A$"&amp;MATCH($S9&amp;$J9,SorP!C:C,0))))</f>
        <v>FI-17</v>
      </c>
      <c r="U9" s="167"/>
      <c r="V9" s="168">
        <f ca="1">IF(C9="",NA(),MATCH($B9&amp;$C9,'Smelter Look-up'!$J:$J,0))</f>
        <v>473</v>
      </c>
      <c r="X9" s="169">
        <f t="shared" ca="1" si="1"/>
        <v>0</v>
      </c>
      <c r="AB9" s="312" t="str">
        <f t="shared" ca="1" si="2"/>
        <v>Nickel</v>
      </c>
      <c r="AC9" s="169" t="str">
        <f t="shared" ca="1" si="3"/>
        <v>Nickel</v>
      </c>
      <c r="AD9" s="169" t="str">
        <f t="shared" ca="1" si="4"/>
        <v>NORILSK NICKEL HARJAVALTA OY</v>
      </c>
    </row>
    <row r="10" spans="1:34" s="169" customFormat="1" ht="20">
      <c r="A10" s="196" t="s">
        <v>18942</v>
      </c>
      <c r="B10" s="302" t="str">
        <f ca="1">IF(LEN(A10)=0,"",INDEX('Smelter Look-up'!$A:$A,MATCH($A10,'Smelter Look-up'!$E:$E,0)))</f>
        <v>Nickel</v>
      </c>
      <c r="C10" s="151" t="str">
        <f ca="1">IF(LEN(A10)=0,"",INDEX('Smelter Look-up'!$C:$C,MATCH($A10,'Smelter Look-up'!$E:$E,0)))</f>
        <v>Niihama Nickel Refinery, Sumitomo Metal Mining</v>
      </c>
      <c r="D10" s="148"/>
      <c r="E10" s="148" t="str">
        <f ca="1">IF(ISERROR($V10),"",OFFSET('Smelter Look-up'!$D$4,$V10-4,0)&amp;"")</f>
        <v>JAPAN</v>
      </c>
      <c r="F10" s="148" t="str">
        <f ca="1">IF(ISERROR($V10),"",OFFSET('Smelter Look-up'!$E$4,$V10-4,0))</f>
        <v>CID004055</v>
      </c>
      <c r="G10" s="148" t="str">
        <f ca="1">IF(C10=$X$4,"Enter smelter details",IF(ISERROR($V10),"",OFFSET('Smelter Look-up'!$F$4,$V10-4,0)))</f>
        <v>RMI</v>
      </c>
      <c r="H10" s="204">
        <f ca="1">IF(ISERROR($V10),"",OFFSET('Smelter Look-up'!$G$4,$V10-4,0))</f>
        <v>0</v>
      </c>
      <c r="I10" s="205" t="str">
        <f ca="1">IF(ISERROR($V10),"",OFFSET('Smelter Look-up'!$H$4,$V10-4,0))</f>
        <v>Niihama</v>
      </c>
      <c r="J10" s="205" t="str">
        <f ca="1">IF(ISERROR($V10),"",OFFSET('Smelter Look-up'!$I$4,$V10-4,0))</f>
        <v>Ehime</v>
      </c>
      <c r="K10" s="149"/>
      <c r="L10" s="149"/>
      <c r="M10" s="149"/>
      <c r="N10" s="149"/>
      <c r="O10" s="149"/>
      <c r="P10" s="207"/>
      <c r="Q10" s="150"/>
      <c r="R10" s="148" t="str">
        <f ca="1">IF(ISERROR($V10),"",OFFSET('Smelter Look-up'!$C$4,$V10-4,0)&amp;"")</f>
        <v>Niihama Nickel Refinery, Sumitomo Metal Mining</v>
      </c>
      <c r="S10" s="154" t="str">
        <f t="shared" ca="1" si="0"/>
        <v>JP</v>
      </c>
      <c r="T10" s="154" t="str">
        <f ca="1">IF(B10="","",IF(ISERROR(MATCH($J10,SorP!$B$1:$B$6226,0)),"",INDIRECT("'SorP'!$A$"&amp;MATCH($S10&amp;$J10,SorP!C:C,0))))</f>
        <v>JP-38</v>
      </c>
      <c r="U10" s="167"/>
      <c r="V10" s="168">
        <f ca="1">IF(C10="",NA(),MATCH($B10&amp;$C10,'Smelter Look-up'!$J:$J,0))</f>
        <v>471</v>
      </c>
      <c r="X10" s="169">
        <f t="shared" ca="1" si="1"/>
        <v>0</v>
      </c>
      <c r="AB10" s="312" t="str">
        <f t="shared" ca="1" si="2"/>
        <v>Nickel</v>
      </c>
      <c r="AC10" s="169" t="str">
        <f t="shared" ca="1" si="3"/>
        <v>Nickel</v>
      </c>
      <c r="AD10" s="169" t="str">
        <f t="shared" ca="1" si="4"/>
        <v>Niihama Nickel Refinery, Sumitomo Metal Mining</v>
      </c>
    </row>
    <row r="11" spans="1:34" s="169" customFormat="1" ht="20">
      <c r="A11" s="197"/>
      <c r="B11" s="302"/>
      <c r="C11" s="151"/>
      <c r="D11" s="148"/>
      <c r="E11" s="148"/>
      <c r="F11" s="148"/>
      <c r="G11" s="148"/>
      <c r="H11" s="204"/>
      <c r="I11" s="205"/>
      <c r="J11" s="205"/>
      <c r="K11" s="149"/>
      <c r="L11" s="149"/>
      <c r="M11" s="149"/>
      <c r="N11" s="149"/>
      <c r="O11" s="149"/>
      <c r="P11" s="207"/>
      <c r="Q11" s="150"/>
      <c r="R11" s="148"/>
      <c r="S11" s="154"/>
      <c r="T11" s="154"/>
      <c r="U11" s="167"/>
      <c r="V11" s="168"/>
      <c r="AB11" s="312"/>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70" zoomScaleNormal="7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7">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5">
      <c r="A4" s="134" t="str">
        <f ca="1">Declaration!B8</f>
        <v>Company Name (*):</v>
      </c>
      <c r="B4" s="354" t="str">
        <f>Declaration!D8</f>
        <v>Taiwan Semiconductor Co., Ltd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Smile Chung</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smile.chung@ts.com.tw</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+886-2-8913-1588</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Smile Chung</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smile.chung@ts.com.tw</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45950</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https://www.taiwansemi.com/en/wp-content/uploads/2023/12/Conflict%20Minerals%20Policy_20240124_Web.pdf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 ca="1">IF(H114=0,"","Click here to provide smelter information")</f>
        <v/>
      </c>
      <c r="E114" s="16" t="s">
        <v>15</v>
      </c>
      <c r="F114" s="83">
        <f>F39</f>
        <v>0</v>
      </c>
      <c r="G114" s="61">
        <f ca="1">IF(AND(COUNTIF(SmelterIdetifiedForMetal,A114)&gt;0,COUNTIF('Smelter List'!AB$5:AB$2504,A114)&gt;0),0,1)</f>
        <v>1</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55" zoomScaleNormal="55" workbookViewId="0">
      <pane ySplit="4" topLeftCell="A311" activePane="bottomLeft" state="frozen"/>
      <selection activeCell="B24" sqref="B24:J24"/>
      <selection pane="bottomLeft" activeCell="B314" sqref="B314"/>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Smile Chung [TSC-HQ]</cp:lastModifiedBy>
  <cp:revision/>
  <dcterms:created xsi:type="dcterms:W3CDTF">2010-06-21T21:00:23Z</dcterms:created>
  <dcterms:modified xsi:type="dcterms:W3CDTF">2025-10-20T02:26:15Z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